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3170"/>
  </bookViews>
  <sheets>
    <sheet name="CHARACTER SHEET" sheetId="1" r:id="rId1"/>
    <sheet name="USER TAB CUSTOM &amp; INSTRUCTIONS" sheetId="2" r:id="rId2"/>
    <sheet name="CREDITS" sheetId="10" r:id="rId3"/>
    <sheet name="ABILITIES" sheetId="5" r:id="rId4"/>
    <sheet name="EQUIPMENT" sheetId="9" r:id="rId5"/>
    <sheet name="CLASS" sheetId="3" r:id="rId6"/>
    <sheet name="SAVES" sheetId="8" r:id="rId7"/>
    <sheet name="VARIABLES" sheetId="7" r:id="rId8"/>
    <sheet name="SPELL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G13" i="3" l="1"/>
  <c r="B23" i="9" l="1"/>
  <c r="B22" i="9"/>
  <c r="B21" i="9"/>
  <c r="B75" i="9"/>
  <c r="B74" i="9"/>
  <c r="B73" i="9"/>
  <c r="B72" i="9"/>
  <c r="B71" i="9"/>
  <c r="B70" i="9"/>
  <c r="B69" i="9"/>
  <c r="B68" i="9"/>
  <c r="B67" i="9"/>
  <c r="B61" i="9"/>
  <c r="B60" i="9"/>
  <c r="B59" i="9"/>
  <c r="B58" i="9"/>
  <c r="B57" i="9"/>
  <c r="B56" i="9"/>
  <c r="B55" i="9"/>
  <c r="B54" i="9"/>
  <c r="B53" i="9"/>
  <c r="B40" i="9"/>
  <c r="B39" i="9"/>
  <c r="B38" i="9"/>
  <c r="B37" i="9"/>
  <c r="B36" i="9"/>
  <c r="B35" i="9"/>
  <c r="B33" i="9"/>
  <c r="B32" i="9"/>
  <c r="B31" i="9"/>
  <c r="B30" i="9"/>
  <c r="B29" i="9"/>
  <c r="B28" i="9"/>
  <c r="B27" i="9"/>
  <c r="B25" i="9"/>
  <c r="B24" i="9"/>
  <c r="C74" i="9" l="1"/>
  <c r="C67" i="9"/>
  <c r="C75" i="9"/>
  <c r="C68" i="9"/>
  <c r="C69" i="9"/>
  <c r="C70" i="9"/>
  <c r="C71" i="9"/>
  <c r="C72" i="9"/>
  <c r="C73" i="9"/>
  <c r="D2" i="9" l="1"/>
  <c r="K5" i="9" s="1"/>
  <c r="L5" i="9" s="1"/>
  <c r="J1" i="7"/>
  <c r="J2" i="7" s="1"/>
  <c r="B5" i="1" s="1"/>
  <c r="B57" i="3"/>
  <c r="B56" i="3"/>
  <c r="B55" i="3"/>
  <c r="B54" i="3"/>
  <c r="B53" i="3"/>
  <c r="B52" i="3"/>
  <c r="B51" i="3"/>
  <c r="B50" i="3"/>
  <c r="B49" i="3"/>
  <c r="B48" i="3"/>
  <c r="B47" i="3"/>
  <c r="B46" i="3"/>
  <c r="F24" i="7"/>
  <c r="F23" i="7"/>
  <c r="F21" i="7"/>
  <c r="F20" i="7"/>
  <c r="F19" i="7"/>
  <c r="F18" i="7"/>
  <c r="F15" i="7"/>
  <c r="F10" i="7"/>
  <c r="F7" i="7"/>
  <c r="F6" i="7"/>
  <c r="F5" i="7"/>
  <c r="G7" i="3"/>
  <c r="C17" i="3"/>
  <c r="G10" i="5"/>
  <c r="G9" i="5"/>
  <c r="G8" i="5"/>
  <c r="G7" i="5"/>
  <c r="G6" i="5"/>
  <c r="G5" i="5"/>
  <c r="B3" i="5"/>
  <c r="B3" i="3"/>
  <c r="C3" i="3" s="1"/>
  <c r="B2" i="3"/>
  <c r="B10" i="5"/>
  <c r="B9" i="5"/>
  <c r="B8" i="5"/>
  <c r="B7" i="5"/>
  <c r="B6" i="5"/>
  <c r="B5" i="5"/>
  <c r="G2" i="9" l="1"/>
  <c r="C51" i="3"/>
  <c r="C48" i="3"/>
  <c r="C52" i="3"/>
  <c r="C56" i="3"/>
  <c r="C49" i="3"/>
  <c r="C53" i="3"/>
  <c r="C57" i="3"/>
  <c r="C50" i="3"/>
  <c r="C54" i="3"/>
  <c r="C46" i="3"/>
  <c r="C47" i="3"/>
  <c r="C55" i="3"/>
  <c r="E7" i="5"/>
  <c r="E8" i="5"/>
  <c r="E9" i="5"/>
  <c r="E6" i="5"/>
  <c r="E10" i="5"/>
  <c r="E5" i="5"/>
  <c r="C9" i="5"/>
  <c r="C7" i="5"/>
  <c r="C8" i="5"/>
  <c r="C6" i="5"/>
  <c r="C10" i="5"/>
  <c r="C5" i="5"/>
  <c r="B4" i="3"/>
  <c r="B1" i="7" s="1"/>
  <c r="F16" i="7" l="1"/>
  <c r="F11" i="7"/>
  <c r="F13" i="7"/>
  <c r="F22" i="7"/>
  <c r="F12" i="7"/>
  <c r="F17" i="7"/>
  <c r="F14" i="7"/>
  <c r="F8" i="7"/>
  <c r="F9" i="7"/>
  <c r="B43" i="9"/>
  <c r="B49" i="9" s="1"/>
  <c r="B3" i="1"/>
  <c r="C3" i="9"/>
  <c r="A12" i="8"/>
  <c r="E4" i="3"/>
  <c r="D4" i="3"/>
  <c r="D25" i="5" s="1"/>
  <c r="C4" i="3"/>
  <c r="F4" i="3"/>
  <c r="L4" i="3"/>
  <c r="H4" i="3"/>
  <c r="A4" i="9" s="1"/>
  <c r="G4" i="9" s="1"/>
  <c r="B42" i="9" s="1"/>
  <c r="E43" i="9" s="1"/>
  <c r="J4" i="3"/>
  <c r="K4" i="3"/>
  <c r="E42" i="9" s="1"/>
  <c r="I4" i="3"/>
  <c r="E57" i="3"/>
  <c r="E53" i="3"/>
  <c r="E56" i="3"/>
  <c r="E52" i="3"/>
  <c r="E55" i="3"/>
  <c r="E51" i="3"/>
  <c r="E54" i="3"/>
  <c r="E50" i="3"/>
  <c r="E49" i="3"/>
  <c r="E48" i="3"/>
  <c r="E47" i="3"/>
  <c r="E46" i="3"/>
  <c r="D6" i="5"/>
  <c r="D8" i="5"/>
  <c r="D7" i="5"/>
  <c r="D10" i="5"/>
  <c r="D9" i="5"/>
  <c r="D5" i="5"/>
  <c r="B13" i="5"/>
  <c r="G22" i="7" l="1"/>
  <c r="G13" i="7"/>
  <c r="G10" i="7"/>
  <c r="G12" i="7"/>
  <c r="G6" i="7"/>
  <c r="G18" i="7"/>
  <c r="G24" i="7"/>
  <c r="G7" i="7"/>
  <c r="G9" i="7"/>
  <c r="G23" i="7"/>
  <c r="G11" i="7"/>
  <c r="G14" i="7"/>
  <c r="G21" i="7"/>
  <c r="G20" i="7"/>
  <c r="G8" i="7"/>
  <c r="G15" i="7"/>
  <c r="G19" i="7"/>
  <c r="G17" i="7"/>
  <c r="G5" i="7"/>
  <c r="G16" i="7"/>
  <c r="C64" i="9"/>
  <c r="C65" i="9" s="1"/>
  <c r="D65" i="9" s="1"/>
  <c r="F65" i="9" s="1"/>
  <c r="B34" i="9"/>
  <c r="B26" i="9"/>
  <c r="B51" i="9"/>
  <c r="B52" i="9"/>
  <c r="B50" i="9"/>
  <c r="E44" i="9"/>
  <c r="C45" i="9" s="1"/>
  <c r="C12" i="8"/>
  <c r="B19" i="1" s="1"/>
  <c r="B12" i="8"/>
  <c r="B18" i="1" s="1"/>
  <c r="D12" i="8"/>
  <c r="B20" i="1" s="1"/>
  <c r="F12" i="8"/>
  <c r="B22" i="1" s="1"/>
  <c r="E12" i="8"/>
  <c r="B21" i="1" s="1"/>
  <c r="E4" i="9"/>
  <c r="C4" i="9"/>
  <c r="D4" i="9"/>
  <c r="K6" i="9" s="1"/>
  <c r="L6" i="9" s="1"/>
  <c r="B4" i="9"/>
  <c r="J6" i="9" s="1"/>
  <c r="F6" i="9"/>
  <c r="F13" i="9"/>
  <c r="F9" i="9"/>
  <c r="F12" i="9"/>
  <c r="F8" i="9"/>
  <c r="F11" i="9"/>
  <c r="F7" i="9"/>
  <c r="F10" i="9"/>
  <c r="B44" i="3"/>
  <c r="G12" i="3" s="1"/>
  <c r="C19" i="3"/>
  <c r="C20" i="3"/>
  <c r="C23" i="5"/>
  <c r="F5" i="5"/>
  <c r="F10" i="5"/>
  <c r="F6" i="5"/>
  <c r="F8" i="5"/>
  <c r="F9" i="5"/>
  <c r="F7" i="5"/>
  <c r="B25" i="5"/>
  <c r="G9" i="3" l="1"/>
  <c r="C32" i="9"/>
  <c r="C27" i="9"/>
  <c r="C35" i="9"/>
  <c r="C23" i="9"/>
  <c r="C22" i="9"/>
  <c r="C30" i="9"/>
  <c r="C33" i="9"/>
  <c r="C29" i="9"/>
  <c r="C21" i="9"/>
  <c r="C36" i="9"/>
  <c r="C38" i="9"/>
  <c r="C39" i="9"/>
  <c r="C24" i="9"/>
  <c r="C26" i="9"/>
  <c r="C37" i="9"/>
  <c r="C50" i="9"/>
  <c r="C40" i="9"/>
  <c r="C28" i="9"/>
  <c r="C25" i="9"/>
  <c r="C31" i="9"/>
  <c r="C34" i="9"/>
  <c r="C55" i="9"/>
  <c r="C57" i="9"/>
  <c r="E65" i="9"/>
  <c r="K9" i="9" s="1"/>
  <c r="C59" i="9"/>
  <c r="J9" i="9"/>
  <c r="C52" i="9"/>
  <c r="C51" i="9"/>
  <c r="C56" i="9"/>
  <c r="C54" i="9"/>
  <c r="C58" i="9"/>
  <c r="C49" i="9"/>
  <c r="C53" i="9"/>
  <c r="C60" i="9"/>
  <c r="C61" i="9"/>
  <c r="M6" i="9"/>
  <c r="A25" i="1" s="1"/>
  <c r="J2" i="9"/>
  <c r="C46" i="9"/>
  <c r="B16" i="9"/>
  <c r="F4" i="9"/>
  <c r="B23" i="5"/>
  <c r="F21" i="9" l="1"/>
  <c r="J10" i="9" s="1"/>
  <c r="G4" i="3"/>
  <c r="D30" i="1" s="1"/>
  <c r="G21" i="9"/>
  <c r="K10" i="9" s="1"/>
  <c r="F23" i="9"/>
  <c r="J12" i="9" s="1"/>
  <c r="G25" i="9"/>
  <c r="K14" i="9" s="1"/>
  <c r="F25" i="9"/>
  <c r="J14" i="9" s="1"/>
  <c r="G23" i="9"/>
  <c r="K12" i="9" s="1"/>
  <c r="G27" i="9"/>
  <c r="K16" i="9" s="1"/>
  <c r="F24" i="9"/>
  <c r="J13" i="9" s="1"/>
  <c r="F27" i="9"/>
  <c r="J16" i="9" s="1"/>
  <c r="G26" i="9"/>
  <c r="K15" i="9" s="1"/>
  <c r="F22" i="9"/>
  <c r="J11" i="9" s="1"/>
  <c r="G22" i="9"/>
  <c r="K11" i="9" s="1"/>
  <c r="G24" i="9"/>
  <c r="K13" i="9" s="1"/>
  <c r="F26" i="9"/>
  <c r="J15" i="9" s="1"/>
  <c r="D45" i="9"/>
  <c r="J7" i="9" s="1"/>
  <c r="D46" i="9"/>
  <c r="E46" i="9" s="1"/>
  <c r="K8" i="9" s="1"/>
  <c r="H10" i="5"/>
  <c r="H6" i="5"/>
  <c r="H9" i="5"/>
  <c r="H5" i="5"/>
  <c r="H8" i="5"/>
  <c r="H7" i="5"/>
  <c r="E45" i="9" l="1"/>
  <c r="K7" i="9" s="1"/>
  <c r="L7" i="9" s="1"/>
  <c r="M7" i="9" s="1"/>
  <c r="A26" i="1" s="1"/>
  <c r="G45" i="9"/>
  <c r="F45" i="9"/>
  <c r="G46" i="9"/>
  <c r="J8" i="9"/>
  <c r="F46" i="9"/>
  <c r="I6" i="5"/>
  <c r="J6" i="5" s="1"/>
  <c r="B16" i="5" s="1"/>
  <c r="I9" i="5"/>
  <c r="J9" i="5" s="1"/>
  <c r="B19" i="5" s="1"/>
  <c r="I7" i="5"/>
  <c r="J7" i="5" s="1"/>
  <c r="B17" i="5" s="1"/>
  <c r="I10" i="5"/>
  <c r="J10" i="5" s="1"/>
  <c r="B20" i="5" s="1"/>
  <c r="I5" i="5"/>
  <c r="J5" i="5" s="1"/>
  <c r="B15" i="5" s="1"/>
  <c r="I8" i="5"/>
  <c r="J8" i="5" s="1"/>
  <c r="B18" i="5" s="1"/>
  <c r="E25" i="5" l="1"/>
  <c r="E15" i="5"/>
  <c r="L8" i="9"/>
  <c r="L9" i="9" s="1"/>
  <c r="E28" i="5"/>
  <c r="E29" i="5" s="1"/>
  <c r="B1" i="1" s="1"/>
  <c r="C16" i="5"/>
  <c r="C10" i="1" s="1"/>
  <c r="F16" i="5"/>
  <c r="E16" i="5"/>
  <c r="D16" i="5"/>
  <c r="C15" i="5"/>
  <c r="C9" i="1" s="1"/>
  <c r="F15" i="5"/>
  <c r="D15" i="5"/>
  <c r="C18" i="5"/>
  <c r="C12" i="1" s="1"/>
  <c r="D18" i="5"/>
  <c r="B17" i="9" s="1"/>
  <c r="B18" i="9" s="1"/>
  <c r="D4" i="1" s="1"/>
  <c r="F18" i="5"/>
  <c r="E18" i="5"/>
  <c r="C20" i="5"/>
  <c r="C14" i="1" s="1"/>
  <c r="E20" i="5"/>
  <c r="F20" i="5"/>
  <c r="D20" i="5"/>
  <c r="C17" i="5"/>
  <c r="C11" i="1" s="1"/>
  <c r="D17" i="5"/>
  <c r="E17" i="5"/>
  <c r="F17" i="5"/>
  <c r="C19" i="5"/>
  <c r="C13" i="1" s="1"/>
  <c r="F19" i="5"/>
  <c r="E19" i="5"/>
  <c r="D19" i="5"/>
  <c r="B14" i="1"/>
  <c r="B13" i="1"/>
  <c r="B12" i="1"/>
  <c r="B11" i="1"/>
  <c r="B10" i="1"/>
  <c r="B9" i="1"/>
  <c r="D19" i="3"/>
  <c r="E19" i="3" s="1"/>
  <c r="F19" i="3" s="1"/>
  <c r="H1" i="7"/>
  <c r="I5" i="7" s="1"/>
  <c r="B29" i="5"/>
  <c r="B28" i="5" s="1"/>
  <c r="B27" i="5"/>
  <c r="B26" i="5" s="1"/>
  <c r="B21" i="5"/>
  <c r="E2" i="1" s="1"/>
  <c r="C25" i="5"/>
  <c r="M8" i="9" l="1"/>
  <c r="A27" i="1" s="1"/>
  <c r="L10" i="9"/>
  <c r="M9" i="9"/>
  <c r="A28" i="1" s="1"/>
  <c r="I8" i="7"/>
  <c r="I6" i="7"/>
  <c r="I7" i="7"/>
  <c r="D20" i="3"/>
  <c r="E20" i="3" s="1"/>
  <c r="F20" i="3" s="1"/>
  <c r="E21" i="3" s="1"/>
  <c r="D3" i="1" s="1"/>
  <c r="B30" i="5"/>
  <c r="B15" i="1" s="1"/>
  <c r="F2" i="7" l="1"/>
  <c r="B6" i="1" s="1"/>
  <c r="L11" i="9"/>
  <c r="M10" i="9"/>
  <c r="A29" i="1" s="1"/>
  <c r="L12" i="9" l="1"/>
  <c r="M11" i="9"/>
  <c r="A30" i="1" s="1"/>
  <c r="L13" i="9" l="1"/>
  <c r="M12" i="9"/>
  <c r="A31" i="1" s="1"/>
  <c r="L14" i="9" l="1"/>
  <c r="M13" i="9"/>
  <c r="A32" i="1" s="1"/>
  <c r="L15" i="9" l="1"/>
  <c r="M14" i="9"/>
  <c r="A33" i="1" s="1"/>
  <c r="L16" i="9" l="1"/>
  <c r="M16" i="9" s="1"/>
  <c r="A35" i="1" s="1"/>
  <c r="M15" i="9"/>
  <c r="A34" i="1" s="1"/>
  <c r="J18" i="9" l="1" a="1"/>
  <c r="J18" i="9" s="1"/>
  <c r="E39" i="1" s="1"/>
</calcChain>
</file>

<file path=xl/sharedStrings.xml><?xml version="1.0" encoding="utf-8"?>
<sst xmlns="http://schemas.openxmlformats.org/spreadsheetml/2006/main" count="604" uniqueCount="380">
  <si>
    <t>CLASS</t>
  </si>
  <si>
    <t>WEAPON</t>
  </si>
  <si>
    <t>ARMOR</t>
  </si>
  <si>
    <t>Cleric</t>
  </si>
  <si>
    <t>Dwarf</t>
  </si>
  <si>
    <t>Elf</t>
  </si>
  <si>
    <t>Fighter</t>
  </si>
  <si>
    <t>Halfling</t>
  </si>
  <si>
    <t>Magic-User</t>
  </si>
  <si>
    <t>Thief</t>
  </si>
  <si>
    <t>ability</t>
  </si>
  <si>
    <t>Strength</t>
  </si>
  <si>
    <t>Wisdom</t>
  </si>
  <si>
    <t>Intelligence</t>
  </si>
  <si>
    <t>Dexterity</t>
  </si>
  <si>
    <t>Constitution</t>
  </si>
  <si>
    <t>Charisma</t>
  </si>
  <si>
    <t>ABILITIES</t>
  </si>
  <si>
    <t>2nd</t>
  </si>
  <si>
    <t>USER TAB</t>
  </si>
  <si>
    <t>VARIABLES</t>
  </si>
  <si>
    <t>Yes</t>
  </si>
  <si>
    <t>No</t>
  </si>
  <si>
    <t>RANDOM</t>
  </si>
  <si>
    <t>USER:</t>
  </si>
  <si>
    <t>IF Random?</t>
  </si>
  <si>
    <t>ACTUAL:</t>
  </si>
  <si>
    <t>SAVES</t>
  </si>
  <si>
    <t>ability order</t>
  </si>
  <si>
    <t>Prime Requisite</t>
  </si>
  <si>
    <t>TOTAL POINTS</t>
  </si>
  <si>
    <t>PRIME ABILITIES</t>
  </si>
  <si>
    <t>No adjustments</t>
  </si>
  <si>
    <t>-3 to hit, melee damage, and open doors</t>
  </si>
  <si>
    <t>-2 to hit, melee damage, and open doors</t>
  </si>
  <si>
    <t>-1 to hit, melee damage, and open doors</t>
  </si>
  <si>
    <t>+1 to hit, melee damage, and open doors</t>
  </si>
  <si>
    <t>+2 to hit, melee damage, and open doors</t>
  </si>
  <si>
    <t>+3 to hit, melee damage, and open doors</t>
  </si>
  <si>
    <t>Cannot read or write Common</t>
  </si>
  <si>
    <t>Can write simple Common words</t>
  </si>
  <si>
    <t>-3 on magic-based saving throws</t>
  </si>
  <si>
    <t>-2 on magic-based saving throws</t>
  </si>
  <si>
    <t>-1 on magic-based saving throws</t>
  </si>
  <si>
    <t>Normal magic-based saving throws</t>
  </si>
  <si>
    <t>+ 1 on magic-based saving throws</t>
  </si>
  <si>
    <t>+ 2 on magic-based saving throws</t>
  </si>
  <si>
    <t>+ 3 on magic-based saving throws</t>
  </si>
  <si>
    <t>No adjustment to hit points</t>
  </si>
  <si>
    <t>No adjustments due to Strength</t>
  </si>
  <si>
    <t>ADJUSTMENTS</t>
  </si>
  <si>
    <t>-3 hit points per hit die</t>
  </si>
  <si>
    <t>-2 hit points per hit die</t>
  </si>
  <si>
    <t>-1 hit points per hit die</t>
  </si>
  <si>
    <t>+1 hit points per hit die</t>
  </si>
  <si>
    <t>+2 hit points per hit die</t>
  </si>
  <si>
    <t>+3 hit points per hit die</t>
  </si>
  <si>
    <t>Ability X.P. Bonus:</t>
  </si>
  <si>
    <t>-20% from earned experience points</t>
  </si>
  <si>
    <t>-10% from earned experience points</t>
  </si>
  <si>
    <t>No adjustment to experience points</t>
  </si>
  <si>
    <t>+ 5% to earned experience points</t>
  </si>
  <si>
    <t>+ 10% to earned experience points</t>
  </si>
  <si>
    <t>ADJUSTMENT TO EXPERIENCE EARNED</t>
  </si>
  <si>
    <t>REQUIRED:</t>
  </si>
  <si>
    <t>HIT POINTS</t>
  </si>
  <si>
    <t>Random every level</t>
  </si>
  <si>
    <t>Max at first, then random per level</t>
  </si>
  <si>
    <t>SCORE</t>
  </si>
  <si>
    <t>PRIME REQUISITE</t>
  </si>
  <si>
    <t>If Halfling</t>
  </si>
  <si>
    <t>If Elf</t>
  </si>
  <si>
    <t>class reference:</t>
  </si>
  <si>
    <t>AVERAGE OF TWO</t>
  </si>
  <si>
    <t>score</t>
  </si>
  <si>
    <t>AVERAGE OF TWO elf</t>
  </si>
  <si>
    <t>FINAL</t>
  </si>
  <si>
    <t>RANK</t>
  </si>
  <si>
    <t xml:space="preserve"> </t>
  </si>
  <si>
    <t>ROLLS 3d6 in order</t>
  </si>
  <si>
    <t>plus rand ()</t>
  </si>
  <si>
    <t>SCORES AGAIN</t>
  </si>
  <si>
    <t>ORDERED</t>
  </si>
  <si>
    <t>RANDOMIZED ABILITIES</t>
  </si>
  <si>
    <t>RAND</t>
  </si>
  <si>
    <t>PRIMARY ATTRIBUTE</t>
  </si>
  <si>
    <t>EXPERIENCE BONUS FOR CHARACTER ABILITY SCORES</t>
  </si>
  <si>
    <t>Hit points</t>
  </si>
  <si>
    <t>Level 1</t>
  </si>
  <si>
    <t>RAND:</t>
  </si>
  <si>
    <t>MAX:</t>
  </si>
  <si>
    <t>HP</t>
  </si>
  <si>
    <t>PLUSCON</t>
  </si>
  <si>
    <t>TOTAL</t>
  </si>
  <si>
    <t>MODIFIER</t>
  </si>
  <si>
    <t>MINIMUM 1 HP</t>
  </si>
  <si>
    <t>USER CHOICE:</t>
  </si>
  <si>
    <t>Hit Points:</t>
  </si>
  <si>
    <t>MODIFIERS</t>
  </si>
  <si>
    <t>FINAL OUTPUT</t>
  </si>
  <si>
    <t>HIT DICE</t>
  </si>
  <si>
    <t>None</t>
  </si>
  <si>
    <t>1 first level</t>
  </si>
  <si>
    <t>none</t>
  </si>
  <si>
    <t>CLERIC</t>
  </si>
  <si>
    <t>MAGIC USER</t>
  </si>
  <si>
    <t>THIEF</t>
  </si>
  <si>
    <t>Charm Person</t>
  </si>
  <si>
    <t>Detect Magic</t>
  </si>
  <si>
    <t>Floating Disc</t>
  </si>
  <si>
    <t>Hold Portal</t>
  </si>
  <si>
    <t>Light</t>
  </si>
  <si>
    <t>Magic Missile</t>
  </si>
  <si>
    <t>Protection from Evil</t>
  </si>
  <si>
    <t>Read Languages</t>
  </si>
  <si>
    <t>Read Magic</t>
  </si>
  <si>
    <t>Shield</t>
  </si>
  <si>
    <t>Sleep</t>
  </si>
  <si>
    <t>Ventriloquism</t>
  </si>
  <si>
    <t>Notice:  Halfling and elf use average of two ability scores if they do not meet the minimum for bonus to determine experience penalty/no change</t>
  </si>
  <si>
    <t>Notice: The Magic User and elf begins with 4 spells in their spellbooks (not just one).</t>
  </si>
  <si>
    <t>HIT POINT DETERMINATION</t>
  </si>
  <si>
    <t>FOUR SPELLS IN SPELLBOOK</t>
  </si>
  <si>
    <t>Cure Light Wounds</t>
  </si>
  <si>
    <t>Detect Evil</t>
  </si>
  <si>
    <t>Purify Food and Water</t>
  </si>
  <si>
    <t>Remove Fear</t>
  </si>
  <si>
    <t>Resist Cold</t>
  </si>
  <si>
    <t>LEVEL</t>
  </si>
  <si>
    <t>Open Locks (10%), Find/Remove Traps (10%), Pick Pockets (20%), Move Silently (20%), Climb Sheer Surfaces (87%), Hide in Shadows (10%), Hear Noise (1-2/d6)</t>
  </si>
  <si>
    <t>Thieves' Abilities</t>
  </si>
  <si>
    <t>Turn Undead: Skeleton (7), Zombie (9), Ghoul (11), Wight (No effect), Wraith (No effect)</t>
  </si>
  <si>
    <t>OUTPUT:</t>
  </si>
  <si>
    <t>SPELLS/DAY</t>
  </si>
  <si>
    <t xml:space="preserve">CLERIC SPELLS AT 2ND LEVEL </t>
  </si>
  <si>
    <t>AC base</t>
  </si>
  <si>
    <t>Clothing</t>
  </si>
  <si>
    <t>Cost</t>
  </si>
  <si>
    <t>y/n</t>
  </si>
  <si>
    <t>LANGUAGES</t>
  </si>
  <si>
    <t>RANKED</t>
  </si>
  <si>
    <t>LIST</t>
  </si>
  <si>
    <t>RANKED so no duplicates</t>
  </si>
  <si>
    <t>Bugbear</t>
  </si>
  <si>
    <t>Doppleganger</t>
  </si>
  <si>
    <t>Dragon</t>
  </si>
  <si>
    <t>Dwarvish</t>
  </si>
  <si>
    <t>Elvish</t>
  </si>
  <si>
    <t>Gargoyle</t>
  </si>
  <si>
    <t>Gnoll</t>
  </si>
  <si>
    <t>Gnome</t>
  </si>
  <si>
    <t>Goblin</t>
  </si>
  <si>
    <t>Harpy</t>
  </si>
  <si>
    <t>Hobgoblin</t>
  </si>
  <si>
    <t>Kobold</t>
  </si>
  <si>
    <t>Lizard Man</t>
  </si>
  <si>
    <t>Medusa</t>
  </si>
  <si>
    <t>Minotaur</t>
  </si>
  <si>
    <t>Ogre</t>
  </si>
  <si>
    <t>Orc</t>
  </si>
  <si>
    <t>Pixie</t>
  </si>
  <si>
    <t>Human Dialect</t>
  </si>
  <si>
    <t>list</t>
  </si>
  <si>
    <t>KNOWN LANGS</t>
  </si>
  <si>
    <t>Languages:</t>
  </si>
  <si>
    <t>ALIGNMENT</t>
  </si>
  <si>
    <t>Lawful</t>
  </si>
  <si>
    <t>Chaotic</t>
  </si>
  <si>
    <t>Neutral</t>
  </si>
  <si>
    <t>COLUMN</t>
  </si>
  <si>
    <t>Alignment:</t>
  </si>
  <si>
    <t>CREDITS AND VERSION NOTES</t>
  </si>
  <si>
    <t>VERSION NOTES:</t>
  </si>
  <si>
    <t>CREDITS:  This character generator created by Jay A. Hafner in honor of an old DM</t>
  </si>
  <si>
    <t>DO DO LIST</t>
  </si>
  <si>
    <t>STARTING GOLD:</t>
  </si>
  <si>
    <t>3d6*10</t>
  </si>
  <si>
    <t>EQUIPMENT</t>
  </si>
  <si>
    <t>ALLOWABLE ARMOR:</t>
  </si>
  <si>
    <t>column</t>
  </si>
  <si>
    <t>Weight</t>
  </si>
  <si>
    <t>Clothing &amp; Shield</t>
  </si>
  <si>
    <t>Armor Class:</t>
  </si>
  <si>
    <t>Afford after dagger?</t>
  </si>
  <si>
    <t>minus 3 for dagger</t>
  </si>
  <si>
    <t>Leather Armor</t>
  </si>
  <si>
    <t>Leather Armor &amp; Shield</t>
  </si>
  <si>
    <t>Chain Mail Armor</t>
  </si>
  <si>
    <t>Chail Mail Armor &amp; Shield</t>
  </si>
  <si>
    <t>Plate Mail Armor</t>
  </si>
  <si>
    <t>Plate Mail Armor &amp; Shield</t>
  </si>
  <si>
    <t xml:space="preserve">LEFTOVER MONEY: </t>
  </si>
  <si>
    <t>Battle Axe (two-handed)</t>
  </si>
  <si>
    <t>DAMAGE</t>
  </si>
  <si>
    <t>d4</t>
  </si>
  <si>
    <t>d6</t>
  </si>
  <si>
    <t>Death Ray or Poison</t>
  </si>
  <si>
    <t>Magic Wands</t>
  </si>
  <si>
    <t>Paralysis or TTS</t>
  </si>
  <si>
    <t>Dragon Breath</t>
  </si>
  <si>
    <t>Rods, Staves, or Spells</t>
  </si>
  <si>
    <t>Magic-user</t>
  </si>
  <si>
    <t>Normal Man</t>
  </si>
  <si>
    <t>SAVING THROWS</t>
  </si>
  <si>
    <t>AC</t>
  </si>
  <si>
    <t>AC calculator</t>
  </si>
  <si>
    <t>DEX</t>
  </si>
  <si>
    <t>Total</t>
  </si>
  <si>
    <t>NOTES1</t>
  </si>
  <si>
    <t>NOTES 2</t>
  </si>
  <si>
    <t>ABILITY SCORES</t>
  </si>
  <si>
    <t>NOTES 3</t>
  </si>
  <si>
    <t>X</t>
  </si>
  <si>
    <t>Y</t>
  </si>
  <si>
    <t>YY</t>
  </si>
  <si>
    <t>TO HIT ROLL NEEDED</t>
  </si>
  <si>
    <t>AC 5</t>
  </si>
  <si>
    <t>AC 8</t>
  </si>
  <si>
    <t>AC 9</t>
  </si>
  <si>
    <t>AC 7</t>
  </si>
  <si>
    <t>AC 6</t>
  </si>
  <si>
    <t>AC 2</t>
  </si>
  <si>
    <t>AC 4</t>
  </si>
  <si>
    <t>To hit 1st</t>
  </si>
  <si>
    <t>to hit 4th</t>
  </si>
  <si>
    <t>CLASS MINIMUM?</t>
  </si>
  <si>
    <t>MIN ABIL</t>
  </si>
  <si>
    <t>Constitution 9</t>
  </si>
  <si>
    <t>Intelligence 9</t>
  </si>
  <si>
    <t>Dex and Con 9</t>
  </si>
  <si>
    <t xml:space="preserve">Backpack </t>
  </si>
  <si>
    <t xml:space="preserve">Flask of Oil </t>
  </si>
  <si>
    <t xml:space="preserve">Hammer (small) </t>
  </si>
  <si>
    <t xml:space="preserve">Holy Symbol </t>
  </si>
  <si>
    <t xml:space="preserve">Holy Water (1 vial) </t>
  </si>
  <si>
    <t xml:space="preserve">Iron Spikes (12) </t>
  </si>
  <si>
    <t xml:space="preserve">Lantern </t>
  </si>
  <si>
    <t xml:space="preserve">Mirror (hand-sized, steel) </t>
  </si>
  <si>
    <t xml:space="preserve">Iron Rations (1 wk) </t>
  </si>
  <si>
    <t xml:space="preserve">Standard Rations (1 wk) </t>
  </si>
  <si>
    <t xml:space="preserve">Rope (50' length) </t>
  </si>
  <si>
    <t xml:space="preserve">Sack, Small </t>
  </si>
  <si>
    <t xml:space="preserve">Sack, Large </t>
  </si>
  <si>
    <t xml:space="preserve">Thieves' Tools </t>
  </si>
  <si>
    <t xml:space="preserve">Tinder Box (flint &amp; steel) </t>
  </si>
  <si>
    <t xml:space="preserve">Torches (6) </t>
  </si>
  <si>
    <t xml:space="preserve">Water/Wine Skin </t>
  </si>
  <si>
    <t xml:space="preserve">Wine (1 quart) </t>
  </si>
  <si>
    <t xml:space="preserve">Wolfsbane (1 bunch) </t>
  </si>
  <si>
    <t xml:space="preserve">Wooden Pole (10' long) </t>
  </si>
  <si>
    <t>ITEM</t>
  </si>
  <si>
    <t>COST</t>
  </si>
  <si>
    <t>RND</t>
  </si>
  <si>
    <t>Hand Axe</t>
  </si>
  <si>
    <t>Long Bow</t>
  </si>
  <si>
    <t>Short Bow</t>
  </si>
  <si>
    <t>Quiver with 20 arrows</t>
  </si>
  <si>
    <t>1 silver-tipped arrow</t>
  </si>
  <si>
    <t>Normal dagger</t>
  </si>
  <si>
    <t>Silver dagger</t>
  </si>
  <si>
    <t>Short Sword</t>
  </si>
  <si>
    <t>Sword (normal)</t>
  </si>
  <si>
    <t>Two-handed Sword</t>
  </si>
  <si>
    <t>Pole Arm (two-handed)</t>
  </si>
  <si>
    <t>Spear</t>
  </si>
  <si>
    <t>Torch (10)</t>
  </si>
  <si>
    <t>d8</t>
  </si>
  <si>
    <t>d10</t>
  </si>
  <si>
    <t>MISSILE WEAPONS</t>
  </si>
  <si>
    <t>Holy Water</t>
  </si>
  <si>
    <t>ROW</t>
  </si>
  <si>
    <t>MISSILE?</t>
  </si>
  <si>
    <t>Crossbow</t>
  </si>
  <si>
    <t>Case with 30 crossbow quarrels</t>
  </si>
  <si>
    <t>Daggers for throwing (3)</t>
  </si>
  <si>
    <t>SHIELD?</t>
  </si>
  <si>
    <t>Shield?</t>
  </si>
  <si>
    <t>Dwf/Half?</t>
  </si>
  <si>
    <t>weapon #</t>
  </si>
  <si>
    <t>Roll max by class</t>
  </si>
  <si>
    <t>ROLL 1</t>
  </si>
  <si>
    <t>ROLL 2</t>
  </si>
  <si>
    <t>FINAL:</t>
  </si>
  <si>
    <t>Roll max no shield non-M-user/Clr?</t>
  </si>
  <si>
    <t>COLUMN:</t>
  </si>
  <si>
    <t>IS 4 IF CLERIC AUTO--CORRECTS FOR MAGIC USER LATER</t>
  </si>
  <si>
    <t>CLASS ROLL LIMIT</t>
  </si>
  <si>
    <t>CLASS LIMIT (CLR/DW/HALFL)</t>
  </si>
  <si>
    <t>MISSILE WEAPON ROLLS</t>
  </si>
  <si>
    <t>ROLL:</t>
  </si>
  <si>
    <t>Oil (thrown, fire)</t>
  </si>
  <si>
    <t>DMG</t>
  </si>
  <si>
    <t xml:space="preserve">OUTPUT: </t>
  </si>
  <si>
    <t>GOLD CALCULATIONS</t>
  </si>
  <si>
    <t>STARTING</t>
  </si>
  <si>
    <t>WEAPON1</t>
  </si>
  <si>
    <t>WEAPON 2</t>
  </si>
  <si>
    <t>MISSILE</t>
  </si>
  <si>
    <t>==</t>
  </si>
  <si>
    <t>REMAINING</t>
  </si>
  <si>
    <t>results</t>
  </si>
  <si>
    <t>first is a bag</t>
  </si>
  <si>
    <t>USE "MAX" IN COLUMN TO FIND</t>
  </si>
  <si>
    <t>OUT HOW MUCH CAN AFFORD</t>
  </si>
  <si>
    <t>Infravision (60'), Detect construction (1-2/d6)</t>
  </si>
  <si>
    <t>BONUS LANGS</t>
  </si>
  <si>
    <t>Common</t>
  </si>
  <si>
    <t>Common, Dwarvish, Gnomish, Kobold, Goblin</t>
  </si>
  <si>
    <t>Common, Elvish, Orc, Hobgoblin, Gnoll</t>
  </si>
  <si>
    <t>Common, Halfling</t>
  </si>
  <si>
    <t>+1 to missile attack rolls, -2 AC vs Larger than man-sized creatures, +1 Initiative, Hide (10% outdoors, 1-2/d6 indoors)</t>
  </si>
  <si>
    <t>N/a</t>
  </si>
  <si>
    <t>GOLD:</t>
  </si>
  <si>
    <t>REMAINING GOLD:</t>
  </si>
  <si>
    <t>Mace</t>
  </si>
  <si>
    <t>Club</t>
  </si>
  <si>
    <t>War Hammer</t>
  </si>
  <si>
    <t>Sling with 30 Sling Stones</t>
  </si>
  <si>
    <t>--</t>
  </si>
  <si>
    <t>MINIMUM SCORES TEST</t>
  </si>
  <si>
    <t>Common, Thieves' Cant</t>
  </si>
  <si>
    <t>No Reaction mod, 4 Max Retainers with 7 Morale</t>
  </si>
  <si>
    <t>-2 Reaction, 1 Maxium # Retainer with 4 Morale</t>
  </si>
  <si>
    <t>-1 Reaction, 2 Maxium # Retainers with 5 Morale</t>
  </si>
  <si>
    <t>-1 Reaction, 3 Maxium # Retainers with 6 Morale</t>
  </si>
  <si>
    <t>+1 Reaction, 5 Maxium # Retainers with 8 Morale</t>
  </si>
  <si>
    <t>+1 Reaction, 6 Maxium # Retainers with 9 Morale</t>
  </si>
  <si>
    <t>+2 Reaction, 7 Maxium # Retainers with 10 Morale</t>
  </si>
  <si>
    <t xml:space="preserve">Level: </t>
  </si>
  <si>
    <t>Reads, writes native languages, + 1 added</t>
  </si>
  <si>
    <t>Reads, writes native languages, + 2 added</t>
  </si>
  <si>
    <t>Reads, writes native languages, + 3 added</t>
  </si>
  <si>
    <t>Reads, writes native language(s)</t>
  </si>
  <si>
    <t>Has trouble speaking, cannot read or write</t>
  </si>
  <si>
    <t>-3 to hit with missile, +3 AC penalty, -2 Initiative</t>
  </si>
  <si>
    <t>-2 to hit with missile, +2 AC penalty, -1 Initiative</t>
  </si>
  <si>
    <t>-1 to hit with missile, +1 AC penalty, -1 Initiative</t>
  </si>
  <si>
    <t>+1 to hit with missile, -1 AC bonus, +1 initiative</t>
  </si>
  <si>
    <t>+2 to hit with missile, -2 AC bonus, +1 Initiative</t>
  </si>
  <si>
    <t>+3 to hit with missile, -3 AC bonus, +2  initiative</t>
  </si>
  <si>
    <t xml:space="preserve">Experience Points: </t>
  </si>
  <si>
    <t>CHARACTER SKETCH</t>
  </si>
  <si>
    <t>Player:</t>
  </si>
  <si>
    <t xml:space="preserve">Character Name: </t>
  </si>
  <si>
    <t>NOTICE ON CALCULATIONS</t>
  </si>
  <si>
    <t>INSTRUCTIONS:</t>
  </si>
  <si>
    <t>1. To instantly create a new character: hit F9 (in excel) or change an open cell and hit enter in any other program</t>
  </si>
  <si>
    <t>2. Ability point total is in upper right corner: it is suggested to not go with less than 63 total points for a character</t>
  </si>
  <si>
    <t>3. Elf, Dwarf, and Halfling will get an ALERT in the name bar if they don't meet the minimum ability scores</t>
  </si>
  <si>
    <t>4. CUSTOM USER SETTINGS are below.  Just change the drop-down field in RED.</t>
  </si>
  <si>
    <t>CUSTOM USER SETTINGS</t>
  </si>
  <si>
    <t xml:space="preserve">Class: </t>
  </si>
  <si>
    <t xml:space="preserve">Hit point determination: </t>
  </si>
  <si>
    <t xml:space="preserve">Prime Ability Score or Random? </t>
  </si>
  <si>
    <t>3d6 in order</t>
  </si>
  <si>
    <t>Prime Requisite(s) Higest then 3d6 in Order</t>
  </si>
  <si>
    <t>OTHER EQUIPMENT &amp; MAGIC ITEMS</t>
  </si>
  <si>
    <t>OTHER NOTES</t>
  </si>
  <si>
    <t>TREASURE AND MONEY</t>
  </si>
  <si>
    <t>AC3</t>
  </si>
  <si>
    <t xml:space="preserve">AC1 </t>
  </si>
  <si>
    <t>AC0</t>
  </si>
  <si>
    <t>Damage Column</t>
  </si>
  <si>
    <t xml:space="preserve">5. TO SAVE a character, print it either on paper or save as a PDF. </t>
  </si>
  <si>
    <t>v1.0</t>
  </si>
  <si>
    <t>First Release version</t>
  </si>
  <si>
    <t>Errata and feedback welcome</t>
  </si>
  <si>
    <t>Encumbrance total</t>
  </si>
  <si>
    <t>list damage by weapon?</t>
  </si>
  <si>
    <t>Thanks for feedback: Richard Adamski</t>
  </si>
  <si>
    <t>V1.1</t>
  </si>
  <si>
    <t>Fixed languages too high</t>
  </si>
  <si>
    <t>Fixed AC not showing dex</t>
  </si>
  <si>
    <t>KNOWN BONUS LANGS:</t>
  </si>
  <si>
    <t>V1.3</t>
  </si>
  <si>
    <t>Fixed languages showing racial duplicates</t>
  </si>
  <si>
    <t>CUSTOM DROP DOWN MENUS</t>
  </si>
  <si>
    <t>added lines for other items an dother notes</t>
  </si>
  <si>
    <t>v1.4</t>
  </si>
  <si>
    <t>Inserted "Class abilities, including spells into other notes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</si>
</sst>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omic Sans MS"/>
      <family val="4"/>
    </font>
    <font>
      <sz val="10"/>
      <color rgb="FF0A010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omic Sans MS"/>
      <family val="4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omic Sans MS"/>
      <family val="4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696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0" borderId="0" xfId="0" applyBorder="1"/>
    <xf numFmtId="0" fontId="0" fillId="7" borderId="1" xfId="0" applyFill="1" applyBorder="1"/>
    <xf numFmtId="0" fontId="0" fillId="9" borderId="1" xfId="0" applyFill="1" applyBorder="1"/>
    <xf numFmtId="0" fontId="0" fillId="3" borderId="1" xfId="0" applyFill="1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8" borderId="3" xfId="0" applyFill="1" applyBorder="1"/>
    <xf numFmtId="0" fontId="0" fillId="0" borderId="0" xfId="0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11" borderId="1" xfId="0" applyFont="1" applyFill="1" applyBorder="1"/>
    <xf numFmtId="0" fontId="0" fillId="5" borderId="0" xfId="0" applyFill="1" applyAlignment="1">
      <alignment horizontal="center"/>
    </xf>
    <xf numFmtId="49" fontId="0" fillId="0" borderId="1" xfId="0" quotePrefix="1" applyNumberFormat="1" applyBorder="1"/>
    <xf numFmtId="0" fontId="0" fillId="0" borderId="1" xfId="0" quotePrefix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1" fillId="18" borderId="1" xfId="0" applyFont="1" applyFill="1" applyBorder="1"/>
    <xf numFmtId="0" fontId="1" fillId="9" borderId="1" xfId="0" applyFont="1" applyFill="1" applyBorder="1" applyAlignment="1">
      <alignment horizontal="left"/>
    </xf>
    <xf numFmtId="0" fontId="0" fillId="19" borderId="1" xfId="0" applyFill="1" applyBorder="1"/>
    <xf numFmtId="0" fontId="0" fillId="18" borderId="1" xfId="0" applyFill="1" applyBorder="1"/>
    <xf numFmtId="0" fontId="1" fillId="18" borderId="5" xfId="0" applyFont="1" applyFill="1" applyBorder="1"/>
    <xf numFmtId="0" fontId="1" fillId="9" borderId="3" xfId="0" applyFont="1" applyFill="1" applyBorder="1" applyAlignment="1">
      <alignment horizontal="left"/>
    </xf>
    <xf numFmtId="0" fontId="0" fillId="7" borderId="2" xfId="0" applyFill="1" applyBorder="1"/>
    <xf numFmtId="0" fontId="0" fillId="0" borderId="13" xfId="0" applyBorder="1"/>
    <xf numFmtId="0" fontId="0" fillId="7" borderId="1" xfId="0" applyFill="1" applyBorder="1" applyAlignment="1">
      <alignment horizontal="center"/>
    </xf>
    <xf numFmtId="0" fontId="0" fillId="5" borderId="2" xfId="0" applyFill="1" applyBorder="1"/>
    <xf numFmtId="0" fontId="0" fillId="0" borderId="0" xfId="0" applyFill="1" applyBorder="1"/>
    <xf numFmtId="0" fontId="0" fillId="0" borderId="0" xfId="0" applyFill="1"/>
    <xf numFmtId="0" fontId="0" fillId="6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0" xfId="0" applyFill="1"/>
    <xf numFmtId="0" fontId="0" fillId="3" borderId="13" xfId="0" applyFill="1" applyBorder="1"/>
    <xf numFmtId="0" fontId="0" fillId="3" borderId="14" xfId="0" applyFill="1" applyBorder="1" applyAlignment="1">
      <alignment horizontal="center"/>
    </xf>
    <xf numFmtId="0" fontId="0" fillId="0" borderId="9" xfId="0" applyBorder="1"/>
    <xf numFmtId="0" fontId="1" fillId="7" borderId="15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/>
    <xf numFmtId="0" fontId="0" fillId="0" borderId="12" xfId="0" applyBorder="1"/>
    <xf numFmtId="0" fontId="1" fillId="9" borderId="16" xfId="0" applyFont="1" applyFill="1" applyBorder="1" applyAlignment="1">
      <alignment horizontal="left"/>
    </xf>
    <xf numFmtId="0" fontId="1" fillId="7" borderId="17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0" fillId="4" borderId="1" xfId="0" applyFill="1" applyBorder="1"/>
    <xf numFmtId="0" fontId="0" fillId="3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9" borderId="5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4" borderId="0" xfId="0" applyFill="1" applyBorder="1"/>
    <xf numFmtId="0" fontId="0" fillId="12" borderId="10" xfId="0" applyFill="1" applyBorder="1"/>
    <xf numFmtId="0" fontId="0" fillId="12" borderId="21" xfId="0" applyFill="1" applyBorder="1"/>
    <xf numFmtId="0" fontId="0" fillId="12" borderId="11" xfId="0" applyFill="1" applyBorder="1"/>
    <xf numFmtId="0" fontId="0" fillId="5" borderId="22" xfId="0" applyFill="1" applyBorder="1"/>
    <xf numFmtId="0" fontId="0" fillId="12" borderId="23" xfId="0" applyFill="1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3" borderId="1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1" borderId="28" xfId="0" applyFill="1" applyBorder="1"/>
    <xf numFmtId="0" fontId="0" fillId="11" borderId="28" xfId="0" applyFill="1" applyBorder="1" applyAlignment="1">
      <alignment horizontal="left"/>
    </xf>
    <xf numFmtId="0" fontId="0" fillId="11" borderId="28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9" xfId="0" applyFill="1" applyBorder="1"/>
    <xf numFmtId="0" fontId="0" fillId="7" borderId="2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0" borderId="10" xfId="0" applyFill="1" applyBorder="1"/>
    <xf numFmtId="0" fontId="0" fillId="20" borderId="13" xfId="0" applyFill="1" applyBorder="1"/>
    <xf numFmtId="0" fontId="0" fillId="20" borderId="20" xfId="0" applyFill="1" applyBorder="1"/>
    <xf numFmtId="0" fontId="0" fillId="20" borderId="20" xfId="0" applyFill="1" applyBorder="1" applyAlignment="1">
      <alignment horizontal="center"/>
    </xf>
    <xf numFmtId="0" fontId="0" fillId="20" borderId="11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0" fillId="20" borderId="24" xfId="0" applyFill="1" applyBorder="1" applyAlignment="1">
      <alignment horizontal="center"/>
    </xf>
    <xf numFmtId="0" fontId="0" fillId="20" borderId="21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12" borderId="2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5" borderId="10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30" xfId="0" applyBorder="1"/>
    <xf numFmtId="0" fontId="0" fillId="0" borderId="5" xfId="0" applyBorder="1" applyAlignment="1">
      <alignment horizontal="left"/>
    </xf>
    <xf numFmtId="0" fontId="0" fillId="7" borderId="7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7" borderId="31" xfId="0" applyFill="1" applyBorder="1"/>
    <xf numFmtId="0" fontId="0" fillId="7" borderId="2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32" xfId="0" applyBorder="1"/>
    <xf numFmtId="0" fontId="0" fillId="7" borderId="1" xfId="0" applyFill="1" applyBorder="1" applyAlignment="1">
      <alignment horizontal="left"/>
    </xf>
    <xf numFmtId="0" fontId="0" fillId="5" borderId="30" xfId="0" applyFill="1" applyBorder="1" applyAlignment="1">
      <alignment horizontal="center"/>
    </xf>
    <xf numFmtId="0" fontId="0" fillId="7" borderId="29" xfId="0" applyFill="1" applyBorder="1" applyAlignment="1">
      <alignment horizontal="left"/>
    </xf>
    <xf numFmtId="0" fontId="0" fillId="9" borderId="23" xfId="0" applyFill="1" applyBorder="1" applyAlignment="1">
      <alignment horizontal="center"/>
    </xf>
    <xf numFmtId="0" fontId="0" fillId="7" borderId="10" xfId="0" applyFill="1" applyBorder="1" applyAlignment="1">
      <alignment horizontal="left"/>
    </xf>
    <xf numFmtId="0" fontId="0" fillId="7" borderId="21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10" borderId="0" xfId="0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2" xfId="0" applyFill="1" applyBorder="1"/>
    <xf numFmtId="0" fontId="0" fillId="7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1" xfId="0" applyFill="1" applyBorder="1"/>
    <xf numFmtId="0" fontId="0" fillId="7" borderId="22" xfId="0" applyFill="1" applyBorder="1" applyAlignment="1">
      <alignment horizontal="center"/>
    </xf>
    <xf numFmtId="0" fontId="0" fillId="19" borderId="22" xfId="0" applyFill="1" applyBorder="1"/>
    <xf numFmtId="0" fontId="0" fillId="19" borderId="32" xfId="0" applyFill="1" applyBorder="1"/>
    <xf numFmtId="0" fontId="0" fillId="19" borderId="29" xfId="0" applyFill="1" applyBorder="1"/>
    <xf numFmtId="0" fontId="0" fillId="19" borderId="29" xfId="0" applyFill="1" applyBorder="1" applyAlignment="1">
      <alignment horizontal="center"/>
    </xf>
    <xf numFmtId="0" fontId="0" fillId="13" borderId="9" xfId="0" applyFill="1" applyBorder="1"/>
    <xf numFmtId="0" fontId="0" fillId="19" borderId="9" xfId="0" applyFill="1" applyBorder="1" applyAlignment="1">
      <alignment horizontal="center"/>
    </xf>
    <xf numFmtId="0" fontId="0" fillId="19" borderId="36" xfId="0" applyFill="1" applyBorder="1" applyAlignment="1">
      <alignment horizontal="center"/>
    </xf>
    <xf numFmtId="0" fontId="0" fillId="21" borderId="2" xfId="0" applyFill="1" applyBorder="1"/>
    <xf numFmtId="0" fontId="0" fillId="21" borderId="2" xfId="0" quotePrefix="1" applyFill="1" applyBorder="1" applyAlignment="1">
      <alignment horizontal="center"/>
    </xf>
    <xf numFmtId="0" fontId="0" fillId="21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3" borderId="9" xfId="0" applyFill="1" applyBorder="1"/>
    <xf numFmtId="0" fontId="0" fillId="11" borderId="0" xfId="0" applyFill="1" applyAlignment="1">
      <alignment horizontal="left"/>
    </xf>
    <xf numFmtId="0" fontId="0" fillId="23" borderId="0" xfId="0" applyFill="1"/>
    <xf numFmtId="0" fontId="0" fillId="24" borderId="26" xfId="0" applyFill="1" applyBorder="1"/>
    <xf numFmtId="0" fontId="0" fillId="24" borderId="1" xfId="0" applyFill="1" applyBorder="1" applyAlignment="1">
      <alignment horizontal="center"/>
    </xf>
    <xf numFmtId="0" fontId="0" fillId="24" borderId="9" xfId="0" applyFill="1" applyBorder="1"/>
    <xf numFmtId="0" fontId="0" fillId="24" borderId="9" xfId="0" applyFill="1" applyBorder="1" applyAlignment="1">
      <alignment horizontal="center"/>
    </xf>
    <xf numFmtId="0" fontId="0" fillId="24" borderId="27" xfId="0" applyFill="1" applyBorder="1"/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right"/>
    </xf>
    <xf numFmtId="0" fontId="3" fillId="11" borderId="0" xfId="0" applyFont="1" applyFill="1" applyAlignment="1">
      <alignment horizontal="center"/>
    </xf>
    <xf numFmtId="0" fontId="0" fillId="23" borderId="12" xfId="0" applyFill="1" applyBorder="1"/>
    <xf numFmtId="0" fontId="0" fillId="23" borderId="0" xfId="0" applyFill="1" applyBorder="1" applyAlignment="1">
      <alignment horizontal="center"/>
    </xf>
    <xf numFmtId="0" fontId="0" fillId="23" borderId="0" xfId="0" applyFill="1" applyBorder="1"/>
    <xf numFmtId="0" fontId="1" fillId="9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2" borderId="1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1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13" borderId="1" xfId="0" applyFill="1" applyBorder="1"/>
    <xf numFmtId="0" fontId="0" fillId="0" borderId="43" xfId="0" applyFill="1" applyBorder="1"/>
    <xf numFmtId="0" fontId="0" fillId="2" borderId="33" xfId="0" applyFill="1" applyBorder="1"/>
    <xf numFmtId="0" fontId="0" fillId="25" borderId="1" xfId="0" applyFill="1" applyBorder="1"/>
    <xf numFmtId="0" fontId="0" fillId="3" borderId="43" xfId="0" applyFill="1" applyBorder="1" applyAlignment="1">
      <alignment horizontal="center"/>
    </xf>
    <xf numFmtId="0" fontId="0" fillId="2" borderId="21" xfId="0" quotePrefix="1" applyFill="1" applyBorder="1" applyAlignment="1">
      <alignment horizontal="center"/>
    </xf>
    <xf numFmtId="0" fontId="2" fillId="2" borderId="10" xfId="0" applyFont="1" applyFill="1" applyBorder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right"/>
    </xf>
    <xf numFmtId="0" fontId="0" fillId="13" borderId="43" xfId="0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4" fillId="14" borderId="1" xfId="0" applyFont="1" applyFill="1" applyBorder="1" applyAlignment="1">
      <alignment horizontal="left" vertical="center"/>
    </xf>
    <xf numFmtId="0" fontId="0" fillId="28" borderId="1" xfId="0" applyFill="1" applyBorder="1" applyAlignment="1">
      <alignment horizontal="left"/>
    </xf>
    <xf numFmtId="0" fontId="4" fillId="28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10" borderId="1" xfId="0" applyFill="1" applyBorder="1" applyAlignment="1">
      <alignment horizontal="left"/>
    </xf>
    <xf numFmtId="0" fontId="0" fillId="23" borderId="8" xfId="0" applyFill="1" applyBorder="1" applyAlignment="1">
      <alignment horizontal="left"/>
    </xf>
    <xf numFmtId="0" fontId="0" fillId="23" borderId="9" xfId="0" applyFill="1" applyBorder="1" applyAlignment="1">
      <alignment horizontal="left"/>
    </xf>
    <xf numFmtId="0" fontId="0" fillId="23" borderId="9" xfId="0" quotePrefix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6" fillId="10" borderId="44" xfId="0" applyNumberFormat="1" applyFont="1" applyFill="1" applyBorder="1"/>
    <xf numFmtId="0" fontId="2" fillId="26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0" borderId="1" xfId="0" applyFont="1" applyBorder="1"/>
    <xf numFmtId="0" fontId="2" fillId="5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7" borderId="2" xfId="0" applyFont="1" applyFill="1" applyBorder="1" applyAlignment="1">
      <alignment horizontal="center"/>
    </xf>
    <xf numFmtId="0" fontId="2" fillId="11" borderId="0" xfId="0" applyFont="1" applyFill="1"/>
    <xf numFmtId="0" fontId="2" fillId="2" borderId="1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22" borderId="1" xfId="0" applyFont="1" applyFill="1" applyBorder="1"/>
    <xf numFmtId="0" fontId="7" fillId="14" borderId="1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2" fillId="21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23" borderId="1" xfId="0" applyFont="1" applyFill="1" applyBorder="1"/>
    <xf numFmtId="0" fontId="2" fillId="23" borderId="1" xfId="0" applyFont="1" applyFill="1" applyBorder="1" applyAlignment="1">
      <alignment horizontal="center"/>
    </xf>
    <xf numFmtId="0" fontId="2" fillId="23" borderId="0" xfId="0" applyFont="1" applyFill="1"/>
    <xf numFmtId="0" fontId="2" fillId="0" borderId="1" xfId="0" applyFont="1" applyBorder="1" applyAlignment="1">
      <alignment horizontal="right"/>
    </xf>
    <xf numFmtId="0" fontId="8" fillId="23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vertical="center"/>
    </xf>
    <xf numFmtId="0" fontId="2" fillId="7" borderId="1" xfId="0" applyFont="1" applyFill="1" applyBorder="1"/>
    <xf numFmtId="0" fontId="2" fillId="22" borderId="1" xfId="0" applyFont="1" applyFill="1" applyBorder="1" applyAlignment="1">
      <alignment horizontal="left"/>
    </xf>
    <xf numFmtId="0" fontId="8" fillId="22" borderId="1" xfId="0" applyFont="1" applyFill="1" applyBorder="1" applyAlignment="1">
      <alignment vertical="center"/>
    </xf>
    <xf numFmtId="0" fontId="2" fillId="2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" fillId="23" borderId="1" xfId="0" quotePrefix="1" applyFont="1" applyFill="1" applyBorder="1" applyAlignment="1">
      <alignment horizontal="center"/>
    </xf>
    <xf numFmtId="0" fontId="0" fillId="11" borderId="45" xfId="0" applyFill="1" applyBorder="1" applyAlignment="1">
      <alignment horizontal="left"/>
    </xf>
    <xf numFmtId="0" fontId="0" fillId="14" borderId="34" xfId="0" applyFill="1" applyBorder="1" applyAlignment="1">
      <alignment horizontal="left"/>
    </xf>
    <xf numFmtId="0" fontId="0" fillId="14" borderId="46" xfId="0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14" borderId="1" xfId="0" applyFont="1" applyFill="1" applyBorder="1" applyAlignment="1">
      <alignment horizontal="right"/>
    </xf>
    <xf numFmtId="0" fontId="5" fillId="17" borderId="1" xfId="0" applyFont="1" applyFill="1" applyBorder="1" applyAlignment="1">
      <alignment horizontal="center"/>
    </xf>
    <xf numFmtId="0" fontId="5" fillId="14" borderId="33" xfId="0" applyFont="1" applyFill="1" applyBorder="1" applyAlignment="1">
      <alignment horizontal="right"/>
    </xf>
    <xf numFmtId="0" fontId="5" fillId="16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16" borderId="49" xfId="0" applyFont="1" applyFill="1" applyBorder="1"/>
    <xf numFmtId="0" fontId="5" fillId="16" borderId="1" xfId="0" applyFont="1" applyFill="1" applyBorder="1"/>
    <xf numFmtId="0" fontId="5" fillId="14" borderId="1" xfId="0" applyFont="1" applyFill="1" applyBorder="1"/>
    <xf numFmtId="0" fontId="5" fillId="14" borderId="9" xfId="0" applyFont="1" applyFill="1" applyBorder="1" applyAlignment="1">
      <alignment horizontal="right"/>
    </xf>
    <xf numFmtId="0" fontId="5" fillId="14" borderId="33" xfId="0" applyFont="1" applyFill="1" applyBorder="1"/>
    <xf numFmtId="0" fontId="5" fillId="0" borderId="0" xfId="0" applyFont="1" applyFill="1" applyBorder="1"/>
    <xf numFmtId="0" fontId="5" fillId="16" borderId="9" xfId="0" applyFont="1" applyFill="1" applyBorder="1"/>
    <xf numFmtId="0" fontId="5" fillId="16" borderId="9" xfId="0" applyFont="1" applyFill="1" applyBorder="1" applyAlignment="1">
      <alignment horizontal="center"/>
    </xf>
    <xf numFmtId="0" fontId="5" fillId="0" borderId="0" xfId="0" applyFont="1" applyBorder="1"/>
    <xf numFmtId="0" fontId="5" fillId="16" borderId="9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5" borderId="1" xfId="0" applyFont="1" applyFill="1" applyBorder="1"/>
    <xf numFmtId="0" fontId="5" fillId="14" borderId="1" xfId="0" applyFont="1" applyFill="1" applyBorder="1" applyAlignment="1">
      <alignment horizontal="right" vertical="center" wrapText="1"/>
    </xf>
    <xf numFmtId="0" fontId="5" fillId="16" borderId="9" xfId="0" applyFont="1" applyFill="1" applyBorder="1" applyAlignment="1"/>
    <xf numFmtId="0" fontId="5" fillId="16" borderId="33" xfId="0" applyFont="1" applyFill="1" applyBorder="1" applyAlignment="1"/>
    <xf numFmtId="0" fontId="5" fillId="14" borderId="2" xfId="0" applyFont="1" applyFill="1" applyBorder="1" applyAlignment="1">
      <alignment horizontal="right"/>
    </xf>
    <xf numFmtId="0" fontId="5" fillId="0" borderId="8" xfId="0" applyFont="1" applyBorder="1"/>
    <xf numFmtId="0" fontId="5" fillId="0" borderId="52" xfId="0" applyFont="1" applyBorder="1"/>
    <xf numFmtId="0" fontId="5" fillId="0" borderId="53" xfId="0" applyFont="1" applyBorder="1"/>
    <xf numFmtId="0" fontId="5" fillId="9" borderId="1" xfId="0" applyFont="1" applyFill="1" applyBorder="1" applyAlignment="1">
      <alignment horizontal="right"/>
    </xf>
    <xf numFmtId="0" fontId="5" fillId="16" borderId="52" xfId="0" applyFont="1" applyFill="1" applyBorder="1"/>
    <xf numFmtId="0" fontId="5" fillId="16" borderId="37" xfId="0" applyFont="1" applyFill="1" applyBorder="1" applyAlignment="1">
      <alignment horizontal="center"/>
    </xf>
    <xf numFmtId="0" fontId="5" fillId="0" borderId="50" xfId="0" applyFont="1" applyBorder="1"/>
    <xf numFmtId="0" fontId="5" fillId="0" borderId="12" xfId="0" applyFont="1" applyBorder="1"/>
    <xf numFmtId="0" fontId="5" fillId="0" borderId="43" xfId="0" applyFont="1" applyBorder="1"/>
    <xf numFmtId="0" fontId="14" fillId="14" borderId="9" xfId="0" applyFont="1" applyFill="1" applyBorder="1" applyAlignment="1">
      <alignment horizontal="right"/>
    </xf>
    <xf numFmtId="0" fontId="14" fillId="16" borderId="49" xfId="0" applyFont="1" applyFill="1" applyBorder="1"/>
    <xf numFmtId="0" fontId="14" fillId="16" borderId="33" xfId="0" applyFont="1" applyFill="1" applyBorder="1"/>
    <xf numFmtId="0" fontId="14" fillId="0" borderId="0" xfId="0" applyFont="1"/>
    <xf numFmtId="0" fontId="5" fillId="0" borderId="38" xfId="0" applyFont="1" applyBorder="1"/>
    <xf numFmtId="0" fontId="5" fillId="0" borderId="37" xfId="0" applyFont="1" applyBorder="1"/>
    <xf numFmtId="0" fontId="13" fillId="3" borderId="0" xfId="0" applyFont="1" applyFill="1"/>
    <xf numFmtId="0" fontId="13" fillId="7" borderId="1" xfId="0" applyFont="1" applyFill="1" applyBorder="1"/>
    <xf numFmtId="0" fontId="13" fillId="0" borderId="2" xfId="0" applyFont="1" applyBorder="1"/>
    <xf numFmtId="0" fontId="13" fillId="0" borderId="0" xfId="0" applyFont="1" applyFill="1" applyBorder="1"/>
    <xf numFmtId="0" fontId="13" fillId="0" borderId="0" xfId="0" applyFont="1" applyFill="1"/>
    <xf numFmtId="0" fontId="13" fillId="7" borderId="0" xfId="0" applyFont="1" applyFill="1"/>
    <xf numFmtId="0" fontId="13" fillId="2" borderId="34" xfId="0" applyFont="1" applyFill="1" applyBorder="1"/>
    <xf numFmtId="0" fontId="13" fillId="5" borderId="1" xfId="0" applyFont="1" applyFill="1" applyBorder="1" applyAlignment="1">
      <alignment horizontal="center"/>
    </xf>
    <xf numFmtId="0" fontId="13" fillId="16" borderId="0" xfId="0" applyFont="1" applyFill="1" applyBorder="1"/>
    <xf numFmtId="0" fontId="13" fillId="3" borderId="5" xfId="0" applyFont="1" applyFill="1" applyBorder="1"/>
    <xf numFmtId="0" fontId="13" fillId="3" borderId="8" xfId="0" applyFont="1" applyFill="1" applyBorder="1"/>
    <xf numFmtId="0" fontId="13" fillId="3" borderId="1" xfId="0" applyFont="1" applyFill="1" applyBorder="1"/>
    <xf numFmtId="0" fontId="13" fillId="16" borderId="2" xfId="0" applyFont="1" applyFill="1" applyBorder="1"/>
    <xf numFmtId="0" fontId="13" fillId="0" borderId="37" xfId="0" applyFont="1" applyBorder="1"/>
    <xf numFmtId="0" fontId="13" fillId="0" borderId="38" xfId="0" applyFont="1" applyBorder="1"/>
    <xf numFmtId="0" fontId="13" fillId="0" borderId="2" xfId="0" applyFont="1" applyBorder="1" applyAlignment="1">
      <alignment horizontal="center"/>
    </xf>
    <xf numFmtId="0" fontId="13" fillId="7" borderId="38" xfId="0" applyFont="1" applyFill="1" applyBorder="1"/>
    <xf numFmtId="0" fontId="13" fillId="0" borderId="1" xfId="0" applyFont="1" applyBorder="1" applyAlignment="1">
      <alignment horizontal="center"/>
    </xf>
    <xf numFmtId="0" fontId="13" fillId="16" borderId="31" xfId="0" applyFont="1" applyFill="1" applyBorder="1"/>
    <xf numFmtId="0" fontId="13" fillId="0" borderId="39" xfId="0" applyFont="1" applyBorder="1"/>
    <xf numFmtId="0" fontId="13" fillId="0" borderId="40" xfId="0" applyFont="1" applyBorder="1"/>
    <xf numFmtId="0" fontId="13" fillId="0" borderId="28" xfId="0" applyFont="1" applyBorder="1"/>
    <xf numFmtId="0" fontId="13" fillId="0" borderId="28" xfId="0" applyFont="1" applyBorder="1" applyAlignment="1">
      <alignment horizontal="center"/>
    </xf>
    <xf numFmtId="0" fontId="13" fillId="7" borderId="40" xfId="0" applyFont="1" applyFill="1" applyBorder="1"/>
    <xf numFmtId="0" fontId="13" fillId="16" borderId="41" xfId="0" applyFont="1" applyFill="1" applyBorder="1"/>
    <xf numFmtId="0" fontId="13" fillId="0" borderId="0" xfId="0" applyFont="1" applyBorder="1"/>
    <xf numFmtId="0" fontId="13" fillId="7" borderId="9" xfId="0" applyFont="1" applyFill="1" applyBorder="1"/>
    <xf numFmtId="0" fontId="13" fillId="0" borderId="9" xfId="0" applyFont="1" applyBorder="1"/>
    <xf numFmtId="0" fontId="13" fillId="16" borderId="22" xfId="0" applyFont="1" applyFill="1" applyBorder="1"/>
    <xf numFmtId="0" fontId="13" fillId="0" borderId="1" xfId="0" applyFont="1" applyBorder="1"/>
    <xf numFmtId="0" fontId="13" fillId="16" borderId="42" xfId="0" applyFont="1" applyFill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16" borderId="32" xfId="0" applyFont="1" applyFill="1" applyBorder="1"/>
    <xf numFmtId="0" fontId="13" fillId="0" borderId="20" xfId="0" applyFont="1" applyBorder="1"/>
    <xf numFmtId="0" fontId="13" fillId="0" borderId="29" xfId="0" applyFont="1" applyBorder="1"/>
    <xf numFmtId="0" fontId="13" fillId="0" borderId="29" xfId="0" applyFont="1" applyBorder="1" applyAlignment="1">
      <alignment horizontal="center"/>
    </xf>
    <xf numFmtId="0" fontId="13" fillId="16" borderId="5" xfId="0" applyFont="1" applyFill="1" applyBorder="1"/>
    <xf numFmtId="0" fontId="13" fillId="16" borderId="1" xfId="0" applyFont="1" applyFill="1" applyBorder="1"/>
    <xf numFmtId="0" fontId="5" fillId="0" borderId="43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0" xfId="0" applyFont="1" applyFill="1" applyBorder="1" applyAlignment="1">
      <alignment horizontal="right"/>
    </xf>
    <xf numFmtId="0" fontId="5" fillId="0" borderId="12" xfId="0" applyFont="1" applyFill="1" applyBorder="1"/>
    <xf numFmtId="0" fontId="5" fillId="0" borderId="50" xfId="0" applyFont="1" applyBorder="1" applyAlignment="1">
      <alignment horizontal="right"/>
    </xf>
    <xf numFmtId="0" fontId="9" fillId="14" borderId="38" xfId="0" applyFont="1" applyFill="1" applyBorder="1" applyAlignment="1">
      <alignment horizontal="center"/>
    </xf>
    <xf numFmtId="0" fontId="0" fillId="13" borderId="0" xfId="0" applyFill="1" applyBorder="1"/>
    <xf numFmtId="0" fontId="0" fillId="13" borderId="23" xfId="0" applyFill="1" applyBorder="1"/>
    <xf numFmtId="0" fontId="12" fillId="0" borderId="26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30" xfId="0" applyFont="1" applyBorder="1"/>
    <xf numFmtId="0" fontId="12" fillId="0" borderId="0" xfId="0" applyFont="1" applyBorder="1"/>
    <xf numFmtId="0" fontId="12" fillId="0" borderId="23" xfId="0" applyFont="1" applyBorder="1"/>
    <xf numFmtId="0" fontId="12" fillId="0" borderId="13" xfId="0" applyFont="1" applyBorder="1"/>
    <xf numFmtId="0" fontId="12" fillId="0" borderId="20" xfId="0" applyFont="1" applyBorder="1"/>
    <xf numFmtId="0" fontId="12" fillId="0" borderId="24" xfId="0" applyFont="1" applyBorder="1"/>
    <xf numFmtId="0" fontId="12" fillId="13" borderId="0" xfId="0" applyFont="1" applyFill="1" applyBorder="1"/>
    <xf numFmtId="0" fontId="12" fillId="13" borderId="23" xfId="0" applyFont="1" applyFill="1" applyBorder="1"/>
    <xf numFmtId="0" fontId="11" fillId="5" borderId="31" xfId="0" applyFont="1" applyFill="1" applyBorder="1" applyAlignment="1">
      <alignment horizontal="right" vertical="center"/>
    </xf>
    <xf numFmtId="0" fontId="11" fillId="5" borderId="32" xfId="0" applyFont="1" applyFill="1" applyBorder="1" applyAlignment="1">
      <alignment horizontal="right" vertical="center"/>
    </xf>
    <xf numFmtId="0" fontId="11" fillId="29" borderId="22" xfId="0" applyFont="1" applyFill="1" applyBorder="1" applyAlignment="1">
      <alignment horizontal="right" vertical="center"/>
    </xf>
    <xf numFmtId="0" fontId="16" fillId="11" borderId="56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7" fillId="13" borderId="30" xfId="0" applyFont="1" applyFill="1" applyBorder="1"/>
    <xf numFmtId="0" fontId="16" fillId="13" borderId="30" xfId="0" applyFont="1" applyFill="1" applyBorder="1"/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4" borderId="0" xfId="0" applyFont="1" applyFill="1"/>
    <xf numFmtId="0" fontId="15" fillId="7" borderId="0" xfId="0" applyFont="1" applyFill="1"/>
    <xf numFmtId="0" fontId="15" fillId="0" borderId="0" xfId="0" applyFont="1"/>
    <xf numFmtId="0" fontId="13" fillId="5" borderId="1" xfId="0" applyFont="1" applyFill="1" applyBorder="1" applyAlignment="1">
      <alignment horizontal="right"/>
    </xf>
    <xf numFmtId="0" fontId="13" fillId="5" borderId="0" xfId="0" applyFont="1" applyFill="1"/>
    <xf numFmtId="0" fontId="13" fillId="5" borderId="9" xfId="0" applyFont="1" applyFill="1" applyBorder="1" applyAlignment="1">
      <alignment horizontal="center"/>
    </xf>
    <xf numFmtId="0" fontId="13" fillId="5" borderId="33" xfId="0" applyFont="1" applyFill="1" applyBorder="1" applyAlignment="1">
      <alignment horizontal="center"/>
    </xf>
    <xf numFmtId="0" fontId="13" fillId="3" borderId="33" xfId="0" applyFont="1" applyFill="1" applyBorder="1"/>
    <xf numFmtId="0" fontId="13" fillId="0" borderId="33" xfId="0" applyFont="1" applyBorder="1" applyAlignment="1">
      <alignment horizontal="center"/>
    </xf>
    <xf numFmtId="0" fontId="13" fillId="5" borderId="58" xfId="0" applyFont="1" applyFill="1" applyBorder="1" applyAlignment="1">
      <alignment horizontal="center"/>
    </xf>
    <xf numFmtId="0" fontId="13" fillId="3" borderId="59" xfId="0" applyFont="1" applyFill="1" applyBorder="1"/>
    <xf numFmtId="0" fontId="13" fillId="0" borderId="60" xfId="0" applyFont="1" applyBorder="1"/>
    <xf numFmtId="0" fontId="13" fillId="0" borderId="61" xfId="0" applyFont="1" applyBorder="1"/>
    <xf numFmtId="0" fontId="13" fillId="0" borderId="62" xfId="0" applyFont="1" applyBorder="1"/>
    <xf numFmtId="0" fontId="18" fillId="11" borderId="47" xfId="0" applyFont="1" applyFill="1" applyBorder="1" applyAlignment="1">
      <alignment horizontal="center" vertical="center"/>
    </xf>
    <xf numFmtId="0" fontId="18" fillId="30" borderId="48" xfId="0" applyFont="1" applyFill="1" applyBorder="1" applyAlignment="1">
      <alignment horizontal="center" vertical="center"/>
    </xf>
    <xf numFmtId="0" fontId="18" fillId="11" borderId="57" xfId="0" applyFont="1" applyFill="1" applyBorder="1" applyAlignment="1">
      <alignment horizontal="center" vertical="center"/>
    </xf>
    <xf numFmtId="0" fontId="5" fillId="14" borderId="63" xfId="0" applyFont="1" applyFill="1" applyBorder="1" applyAlignment="1">
      <alignment horizontal="right"/>
    </xf>
    <xf numFmtId="0" fontId="5" fillId="0" borderId="1" xfId="0" applyFont="1" applyBorder="1"/>
    <xf numFmtId="0" fontId="5" fillId="16" borderId="1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4" borderId="52" xfId="0" applyFont="1" applyFill="1" applyBorder="1" applyAlignment="1">
      <alignment horizontal="center"/>
    </xf>
    <xf numFmtId="0" fontId="5" fillId="14" borderId="33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 vertical="center"/>
    </xf>
    <xf numFmtId="0" fontId="5" fillId="14" borderId="52" xfId="0" applyFont="1" applyFill="1" applyBorder="1" applyAlignment="1">
      <alignment horizontal="center" vertical="center"/>
    </xf>
    <xf numFmtId="0" fontId="5" fillId="14" borderId="49" xfId="0" applyFont="1" applyFill="1" applyBorder="1" applyAlignment="1">
      <alignment horizontal="center"/>
    </xf>
    <xf numFmtId="0" fontId="5" fillId="14" borderId="50" xfId="0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"/>
    </xf>
    <xf numFmtId="0" fontId="10" fillId="11" borderId="11" xfId="0" applyFont="1" applyFill="1" applyBorder="1" applyAlignment="1">
      <alignment horizontal="center"/>
    </xf>
    <xf numFmtId="0" fontId="5" fillId="0" borderId="38" xfId="0" applyFont="1" applyBorder="1" applyAlignment="1">
      <alignment horizontal="left" vertical="top" wrapText="1" shrinkToFit="1"/>
    </xf>
    <xf numFmtId="0" fontId="5" fillId="0" borderId="37" xfId="0" applyFont="1" applyBorder="1" applyAlignment="1">
      <alignment horizontal="left" vertical="top" wrapText="1" shrinkToFit="1"/>
    </xf>
    <xf numFmtId="0" fontId="5" fillId="0" borderId="50" xfId="0" applyFont="1" applyBorder="1" applyAlignment="1">
      <alignment horizontal="left" vertical="top" wrapText="1" shrinkToFit="1"/>
    </xf>
    <xf numFmtId="0" fontId="5" fillId="0" borderId="12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5" fillId="0" borderId="53" xfId="0" applyFont="1" applyBorder="1" applyAlignment="1">
      <alignment horizontal="left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969"/>
      <color rgb="FF53D2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2</xdr:row>
      <xdr:rowOff>716280</xdr:rowOff>
    </xdr:from>
    <xdr:to>
      <xdr:col>12</xdr:col>
      <xdr:colOff>59055</xdr:colOff>
      <xdr:row>11</xdr:row>
      <xdr:rowOff>112395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82040"/>
          <a:ext cx="2809875" cy="160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"/>
  <sheetViews>
    <sheetView showGridLines="0" showRowColHeaders="0" tabSelected="1" showRuler="0" view="pageLayout" zoomScale="70" zoomScaleNormal="100" zoomScalePageLayoutView="70" workbookViewId="0">
      <selection activeCell="D30" sqref="D30:E37"/>
    </sheetView>
  </sheetViews>
  <sheetFormatPr defaultColWidth="9.140625" defaultRowHeight="15.75" x14ac:dyDescent="0.3"/>
  <cols>
    <col min="1" max="1" width="24" style="247" customWidth="1"/>
    <col min="2" max="2" width="14" style="241" customWidth="1"/>
    <col min="3" max="3" width="32.28515625" style="241" customWidth="1"/>
    <col min="4" max="4" width="13.42578125" style="241" customWidth="1"/>
    <col min="5" max="5" width="15.85546875" style="241" customWidth="1"/>
    <col min="6" max="6" width="9.140625" style="241"/>
    <col min="8" max="16384" width="9.140625" style="241"/>
  </cols>
  <sheetData>
    <row r="1" spans="1:8" s="282" customFormat="1" ht="19.899999999999999" x14ac:dyDescent="0.45">
      <c r="A1" s="279" t="s">
        <v>343</v>
      </c>
      <c r="B1" s="280" t="str">
        <f ca="1">IF(ABILITIES!E29&lt;&gt;"ability minimums ok","!!! Abilities too low for this class --must re-roll !!!","")</f>
        <v/>
      </c>
      <c r="C1" s="281"/>
      <c r="D1" s="254" t="s">
        <v>342</v>
      </c>
      <c r="E1" s="281"/>
    </row>
    <row r="2" spans="1:8" s="242" customFormat="1" ht="24" customHeight="1" x14ac:dyDescent="0.4">
      <c r="A2" s="327"/>
      <c r="B2" s="253"/>
      <c r="C2" s="253"/>
      <c r="D2" s="253"/>
      <c r="E2" s="328" t="str">
        <f ca="1">"Abil total: "&amp;ABILITIES!B21</f>
        <v>Abil total: 63</v>
      </c>
      <c r="F2" s="241"/>
      <c r="H2" s="241"/>
    </row>
    <row r="3" spans="1:8" s="242" customFormat="1" ht="16.149999999999999" x14ac:dyDescent="0.4">
      <c r="A3" s="243" t="s">
        <v>0</v>
      </c>
      <c r="B3" s="246" t="str">
        <f ca="1">CLASS!B4</f>
        <v>Halfling</v>
      </c>
      <c r="C3" s="245" t="s">
        <v>97</v>
      </c>
      <c r="D3" s="255">
        <f ca="1">CLASS!E21</f>
        <v>6</v>
      </c>
      <c r="E3" s="250" t="s">
        <v>362</v>
      </c>
    </row>
    <row r="4" spans="1:8" ht="16.149999999999999" x14ac:dyDescent="0.4">
      <c r="A4" s="243" t="s">
        <v>328</v>
      </c>
      <c r="B4" s="244">
        <v>1</v>
      </c>
      <c r="C4" s="245" t="s">
        <v>182</v>
      </c>
      <c r="D4" s="255">
        <f ca="1">EQUIPMENT!B18</f>
        <v>5</v>
      </c>
      <c r="E4" s="324"/>
      <c r="G4" s="241"/>
    </row>
    <row r="5" spans="1:8" ht="16.149999999999999" x14ac:dyDescent="0.4">
      <c r="A5" s="243" t="s">
        <v>170</v>
      </c>
      <c r="B5" s="246" t="str">
        <f ca="1">VARIABLES!J2</f>
        <v>Neutral</v>
      </c>
      <c r="C5" s="245" t="s">
        <v>340</v>
      </c>
      <c r="D5" s="255"/>
      <c r="E5" s="324"/>
      <c r="G5" s="241"/>
    </row>
    <row r="6" spans="1:8" ht="16.149999999999999" x14ac:dyDescent="0.4">
      <c r="A6" s="243" t="s">
        <v>164</v>
      </c>
      <c r="B6" s="249" t="str">
        <f ca="1">VARIABLES!F2</f>
        <v xml:space="preserve">Common, Halfling </v>
      </c>
      <c r="C6" s="248"/>
      <c r="D6" s="248"/>
      <c r="E6" s="324"/>
      <c r="G6" s="241"/>
    </row>
    <row r="7" spans="1:8" ht="5.45" customHeight="1" x14ac:dyDescent="0.4">
      <c r="A7" s="329"/>
      <c r="B7" s="256"/>
      <c r="C7" s="256"/>
      <c r="D7" s="256"/>
      <c r="E7" s="324"/>
      <c r="G7" s="241"/>
    </row>
    <row r="8" spans="1:8" ht="16.149999999999999" x14ac:dyDescent="0.4">
      <c r="A8" s="243" t="s">
        <v>17</v>
      </c>
      <c r="B8" s="259" t="s">
        <v>68</v>
      </c>
      <c r="C8" s="384" t="s">
        <v>98</v>
      </c>
      <c r="D8" s="385"/>
      <c r="E8" s="325"/>
      <c r="G8" s="241"/>
    </row>
    <row r="9" spans="1:8" ht="16.149999999999999" x14ac:dyDescent="0.4">
      <c r="A9" s="243" t="s">
        <v>11</v>
      </c>
      <c r="B9" s="246">
        <f ca="1">ABILITIES!B15</f>
        <v>12</v>
      </c>
      <c r="C9" s="375" t="str">
        <f ca="1">ABILITIES!C15</f>
        <v>No adjustments due to Strength</v>
      </c>
      <c r="D9" s="376"/>
      <c r="E9" s="324"/>
      <c r="G9" s="241"/>
    </row>
    <row r="10" spans="1:8" ht="16.149999999999999" x14ac:dyDescent="0.4">
      <c r="A10" s="243" t="s">
        <v>13</v>
      </c>
      <c r="B10" s="246">
        <f ca="1">ABILITIES!B16</f>
        <v>9</v>
      </c>
      <c r="C10" s="375" t="str">
        <f ca="1">ABILITIES!C16</f>
        <v>Reads, writes native language(s)</v>
      </c>
      <c r="D10" s="376"/>
      <c r="E10" s="324"/>
      <c r="G10" s="241"/>
    </row>
    <row r="11" spans="1:8" ht="16.149999999999999" x14ac:dyDescent="0.4">
      <c r="A11" s="243" t="s">
        <v>12</v>
      </c>
      <c r="B11" s="246">
        <f ca="1">ABILITIES!B17</f>
        <v>7</v>
      </c>
      <c r="C11" s="375" t="str">
        <f ca="1">ABILITIES!C17</f>
        <v>-1 on magic-based saving throws</v>
      </c>
      <c r="D11" s="376"/>
      <c r="E11" s="324"/>
      <c r="G11" s="241"/>
    </row>
    <row r="12" spans="1:8" ht="16.149999999999999" x14ac:dyDescent="0.4">
      <c r="A12" s="243" t="s">
        <v>14</v>
      </c>
      <c r="B12" s="246">
        <f ca="1">ABILITIES!B18</f>
        <v>14</v>
      </c>
      <c r="C12" s="375" t="str">
        <f ca="1">ABILITIES!C18</f>
        <v>+1 to hit with missile, -1 AC bonus, +1 initiative</v>
      </c>
      <c r="D12" s="376"/>
      <c r="E12" s="324"/>
      <c r="G12" s="241"/>
    </row>
    <row r="13" spans="1:8" ht="16.149999999999999" x14ac:dyDescent="0.4">
      <c r="A13" s="243" t="s">
        <v>15</v>
      </c>
      <c r="B13" s="246">
        <f ca="1">ABILITIES!B19</f>
        <v>12</v>
      </c>
      <c r="C13" s="375" t="str">
        <f ca="1">ABILITIES!C19</f>
        <v>No adjustment to hit points</v>
      </c>
      <c r="D13" s="376"/>
      <c r="E13" s="324"/>
      <c r="G13" s="241"/>
    </row>
    <row r="14" spans="1:8" ht="16.149999999999999" x14ac:dyDescent="0.4">
      <c r="A14" s="269" t="s">
        <v>16</v>
      </c>
      <c r="B14" s="246">
        <f ca="1">ABILITIES!B20</f>
        <v>9</v>
      </c>
      <c r="C14" s="375" t="str">
        <f ca="1">ABILITIES!C20</f>
        <v>No Reaction mod, 4 Max Retainers with 7 Morale</v>
      </c>
      <c r="D14" s="376"/>
      <c r="E14" s="324"/>
      <c r="G14" s="241"/>
    </row>
    <row r="15" spans="1:8" ht="16.149999999999999" x14ac:dyDescent="0.4">
      <c r="A15" s="273" t="s">
        <v>57</v>
      </c>
      <c r="B15" s="249" t="str">
        <f ca="1">ABILITIES!B30</f>
        <v>+ 5% to earned experience points</v>
      </c>
      <c r="C15" s="274"/>
      <c r="D15" s="274"/>
      <c r="E15" s="326"/>
      <c r="G15" s="241"/>
    </row>
    <row r="16" spans="1:8" ht="9" customHeight="1" x14ac:dyDescent="0.4">
      <c r="A16" s="270"/>
      <c r="B16" s="271"/>
      <c r="C16" s="256"/>
      <c r="D16" s="272"/>
      <c r="E16" s="277"/>
      <c r="G16" s="241"/>
    </row>
    <row r="17" spans="1:7" ht="16.149999999999999" x14ac:dyDescent="0.4">
      <c r="A17" s="379" t="s">
        <v>203</v>
      </c>
      <c r="B17" s="380"/>
      <c r="C17" s="246" t="s">
        <v>341</v>
      </c>
      <c r="D17" s="377" t="s">
        <v>215</v>
      </c>
      <c r="E17" s="378"/>
      <c r="G17" s="241"/>
    </row>
    <row r="18" spans="1:7" ht="16.149999999999999" x14ac:dyDescent="0.4">
      <c r="A18" s="266" t="s">
        <v>196</v>
      </c>
      <c r="B18" s="257">
        <f ca="1">SAVES!B12</f>
        <v>10</v>
      </c>
      <c r="C18" s="278"/>
      <c r="D18" s="258" t="s">
        <v>218</v>
      </c>
      <c r="E18" s="246">
        <f>VARIABLES!K6</f>
        <v>10</v>
      </c>
      <c r="G18" s="241"/>
    </row>
    <row r="19" spans="1:7" ht="16.149999999999999" x14ac:dyDescent="0.4">
      <c r="A19" s="266" t="s">
        <v>197</v>
      </c>
      <c r="B19" s="257">
        <f ca="1">SAVES!C12</f>
        <v>11</v>
      </c>
      <c r="C19" s="278"/>
      <c r="D19" s="258" t="s">
        <v>217</v>
      </c>
      <c r="E19" s="246">
        <f>VARIABLES!K7</f>
        <v>11</v>
      </c>
      <c r="G19" s="241"/>
    </row>
    <row r="20" spans="1:7" ht="16.149999999999999" x14ac:dyDescent="0.4">
      <c r="A20" s="266" t="s">
        <v>198</v>
      </c>
      <c r="B20" s="257">
        <f ca="1">SAVES!D12</f>
        <v>12</v>
      </c>
      <c r="C20" s="278"/>
      <c r="D20" s="258" t="s">
        <v>219</v>
      </c>
      <c r="E20" s="246">
        <f>VARIABLES!K8</f>
        <v>12</v>
      </c>
      <c r="G20" s="241"/>
    </row>
    <row r="21" spans="1:7" ht="16.149999999999999" x14ac:dyDescent="0.4">
      <c r="A21" s="266" t="s">
        <v>199</v>
      </c>
      <c r="B21" s="257">
        <f ca="1">SAVES!E12</f>
        <v>13</v>
      </c>
      <c r="C21" s="278"/>
      <c r="D21" s="258" t="s">
        <v>220</v>
      </c>
      <c r="E21" s="246">
        <f>VARIABLES!K9</f>
        <v>13</v>
      </c>
      <c r="G21" s="241"/>
    </row>
    <row r="22" spans="1:7" ht="16.149999999999999" x14ac:dyDescent="0.4">
      <c r="A22" s="266" t="s">
        <v>200</v>
      </c>
      <c r="B22" s="257">
        <f ca="1">SAVES!F12</f>
        <v>14</v>
      </c>
      <c r="C22" s="278"/>
      <c r="D22" s="258" t="s">
        <v>216</v>
      </c>
      <c r="E22" s="246">
        <f>VARIABLES!K10</f>
        <v>14</v>
      </c>
      <c r="G22" s="241"/>
    </row>
    <row r="23" spans="1:7" ht="16.149999999999999" x14ac:dyDescent="0.4">
      <c r="A23" s="276"/>
      <c r="B23" s="256"/>
      <c r="C23" s="278"/>
      <c r="D23" s="258" t="s">
        <v>222</v>
      </c>
      <c r="E23" s="246">
        <f>VARIABLES!K11</f>
        <v>15</v>
      </c>
      <c r="G23" s="241"/>
    </row>
    <row r="24" spans="1:7" ht="16.149999999999999" x14ac:dyDescent="0.4">
      <c r="A24" s="251" t="s">
        <v>177</v>
      </c>
      <c r="B24" s="252"/>
      <c r="C24" s="278"/>
      <c r="D24" s="258" t="s">
        <v>359</v>
      </c>
      <c r="E24" s="246">
        <f>VARIABLES!K12</f>
        <v>16</v>
      </c>
      <c r="G24" s="241"/>
    </row>
    <row r="25" spans="1:7" ht="16.149999999999999" x14ac:dyDescent="0.4">
      <c r="A25" s="267" t="str">
        <f ca="1">EQUIPMENT!M6</f>
        <v>Leather Armor &amp; Shield</v>
      </c>
      <c r="B25" s="268"/>
      <c r="C25" s="278"/>
      <c r="D25" s="258" t="s">
        <v>221</v>
      </c>
      <c r="E25" s="246">
        <f>VARIABLES!K13</f>
        <v>17</v>
      </c>
      <c r="G25" s="241"/>
    </row>
    <row r="26" spans="1:7" ht="16.149999999999999" x14ac:dyDescent="0.4">
      <c r="A26" s="267" t="str">
        <f ca="1">EQUIPMENT!M7</f>
        <v>Spear</v>
      </c>
      <c r="B26" s="268"/>
      <c r="C26" s="278"/>
      <c r="D26" s="258" t="s">
        <v>360</v>
      </c>
      <c r="E26" s="246">
        <f>VARIABLES!K14</f>
        <v>18</v>
      </c>
      <c r="G26" s="241"/>
    </row>
    <row r="27" spans="1:7" ht="16.149999999999999" x14ac:dyDescent="0.4">
      <c r="A27" s="267" t="str">
        <f ca="1">EQUIPMENT!M8</f>
        <v>Normal dagger</v>
      </c>
      <c r="B27" s="268"/>
      <c r="C27" s="278"/>
      <c r="D27" s="259" t="s">
        <v>361</v>
      </c>
      <c r="E27" s="246">
        <f>VARIABLES!K15</f>
        <v>19</v>
      </c>
      <c r="G27" s="241"/>
    </row>
    <row r="28" spans="1:7" ht="16.149999999999999" x14ac:dyDescent="0.4">
      <c r="A28" s="267" t="str">
        <f ca="1">EQUIPMENT!M9</f>
        <v>Holy Water</v>
      </c>
      <c r="B28" s="268"/>
      <c r="C28" s="278"/>
      <c r="D28" s="283"/>
      <c r="E28" s="284"/>
      <c r="G28" s="241"/>
    </row>
    <row r="29" spans="1:7" ht="15" x14ac:dyDescent="0.3">
      <c r="A29" s="267" t="str">
        <f ca="1">EQUIPMENT!M10</f>
        <v xml:space="preserve">Sack, Small </v>
      </c>
      <c r="B29" s="268"/>
      <c r="C29" s="330" t="s">
        <v>356</v>
      </c>
      <c r="D29" s="382" t="s">
        <v>357</v>
      </c>
      <c r="E29" s="383"/>
      <c r="G29" s="241"/>
    </row>
    <row r="30" spans="1:7" ht="15" x14ac:dyDescent="0.3">
      <c r="A30" s="267" t="str">
        <f ca="1">EQUIPMENT!M11</f>
        <v xml:space="preserve">Water/Wine Skin </v>
      </c>
      <c r="B30" s="268"/>
      <c r="C30" s="374"/>
      <c r="D30" s="389" t="str">
        <f ca="1">"Class Abilities: "&amp;CLASS!G4</f>
        <v>Class Abilities: +1 to missile attack rolls, -2 AC vs Larger than man-sized creatures, +1 Initiative, Hide (10% outdoors, 1-2/d6 indoors)</v>
      </c>
      <c r="E30" s="390"/>
      <c r="G30" s="241"/>
    </row>
    <row r="31" spans="1:7" ht="15" x14ac:dyDescent="0.3">
      <c r="A31" s="267" t="str">
        <f ca="1">EQUIPMENT!M12</f>
        <v xml:space="preserve">Torches (6) </v>
      </c>
      <c r="B31" s="268"/>
      <c r="C31" s="374"/>
      <c r="D31" s="391"/>
      <c r="E31" s="392"/>
      <c r="G31" s="241"/>
    </row>
    <row r="32" spans="1:7" ht="15" x14ac:dyDescent="0.3">
      <c r="A32" s="267" t="str">
        <f ca="1">EQUIPMENT!M13</f>
        <v xml:space="preserve">Holy Water (1 vial) </v>
      </c>
      <c r="B32" s="268"/>
      <c r="C32" s="374"/>
      <c r="D32" s="391"/>
      <c r="E32" s="392"/>
      <c r="G32" s="241"/>
    </row>
    <row r="33" spans="1:7" ht="15" x14ac:dyDescent="0.3">
      <c r="A33" s="267" t="str">
        <f ca="1">EQUIPMENT!M14</f>
        <v xml:space="preserve">Holy Symbol </v>
      </c>
      <c r="B33" s="268"/>
      <c r="C33" s="374"/>
      <c r="D33" s="391"/>
      <c r="E33" s="392"/>
      <c r="G33" s="241"/>
    </row>
    <row r="34" spans="1:7" ht="15" x14ac:dyDescent="0.3">
      <c r="A34" s="267" t="str">
        <f ca="1">EQUIPMENT!M15</f>
        <v xml:space="preserve">Wine (1 quart) </v>
      </c>
      <c r="B34" s="268"/>
      <c r="C34" s="374"/>
      <c r="D34" s="391"/>
      <c r="E34" s="392"/>
      <c r="G34" s="241"/>
    </row>
    <row r="35" spans="1:7" ht="15" x14ac:dyDescent="0.3">
      <c r="A35" s="267" t="str">
        <f ca="1">EQUIPMENT!M16</f>
        <v/>
      </c>
      <c r="B35" s="268"/>
      <c r="C35" s="374"/>
      <c r="D35" s="391"/>
      <c r="E35" s="392"/>
      <c r="G35" s="241"/>
    </row>
    <row r="36" spans="1:7" ht="15" x14ac:dyDescent="0.3">
      <c r="A36" s="267"/>
      <c r="B36" s="268"/>
      <c r="C36" s="374"/>
      <c r="D36" s="391"/>
      <c r="E36" s="392"/>
      <c r="G36" s="241"/>
    </row>
    <row r="37" spans="1:7" ht="15" x14ac:dyDescent="0.3">
      <c r="A37" s="267"/>
      <c r="B37" s="268"/>
      <c r="C37" s="374"/>
      <c r="D37" s="393"/>
      <c r="E37" s="394"/>
      <c r="G37" s="241"/>
    </row>
    <row r="38" spans="1:7" ht="15" x14ac:dyDescent="0.3">
      <c r="A38" s="267"/>
      <c r="B38" s="268"/>
      <c r="C38" s="374"/>
      <c r="D38" s="381" t="s">
        <v>358</v>
      </c>
      <c r="E38" s="378"/>
      <c r="G38" s="241"/>
    </row>
    <row r="39" spans="1:7" ht="15" x14ac:dyDescent="0.3">
      <c r="A39" s="267"/>
      <c r="B39" s="268"/>
      <c r="C39" s="374"/>
      <c r="D39" s="373" t="s">
        <v>312</v>
      </c>
      <c r="E39" s="275">
        <f ca="1">EQUIPMENT!J18</f>
        <v>5</v>
      </c>
      <c r="G39" s="241"/>
    </row>
    <row r="40" spans="1:7" ht="15" x14ac:dyDescent="0.3">
      <c r="A40" s="267"/>
      <c r="B40" s="268"/>
      <c r="C40" s="374"/>
      <c r="D40" s="256"/>
      <c r="E40" s="277"/>
      <c r="G40" s="241"/>
    </row>
    <row r="41" spans="1:7" ht="15" x14ac:dyDescent="0.3">
      <c r="A41" s="267"/>
      <c r="B41" s="268"/>
      <c r="C41" s="374"/>
      <c r="D41" s="271"/>
      <c r="E41" s="272"/>
      <c r="G41" s="241"/>
    </row>
    <row r="42" spans="1:7" ht="15" x14ac:dyDescent="0.3">
      <c r="A42" s="241"/>
      <c r="G42" s="241"/>
    </row>
    <row r="43" spans="1:7" ht="15" x14ac:dyDescent="0.3">
      <c r="A43" s="241"/>
      <c r="G43" s="241"/>
    </row>
    <row r="44" spans="1:7" ht="15" x14ac:dyDescent="0.3">
      <c r="A44" s="241"/>
      <c r="G44" s="241"/>
    </row>
    <row r="45" spans="1:7" ht="15" x14ac:dyDescent="0.3">
      <c r="A45" s="241"/>
      <c r="G45" s="241"/>
    </row>
    <row r="46" spans="1:7" ht="15" x14ac:dyDescent="0.3">
      <c r="A46" s="241"/>
      <c r="G46" s="241"/>
    </row>
    <row r="47" spans="1:7" ht="15" x14ac:dyDescent="0.3">
      <c r="A47" s="241"/>
      <c r="G47" s="241"/>
    </row>
    <row r="48" spans="1:7" ht="15" x14ac:dyDescent="0.3">
      <c r="A48" s="241"/>
      <c r="G48" s="241"/>
    </row>
    <row r="49" spans="1:7" ht="15" x14ac:dyDescent="0.3">
      <c r="A49" s="241"/>
      <c r="G49" s="241"/>
    </row>
    <row r="50" spans="1:7" ht="15" x14ac:dyDescent="0.3">
      <c r="A50" s="241"/>
      <c r="G50" s="241"/>
    </row>
    <row r="51" spans="1:7" ht="15" x14ac:dyDescent="0.3">
      <c r="A51" s="241"/>
      <c r="G51" s="241"/>
    </row>
    <row r="52" spans="1:7" ht="15" x14ac:dyDescent="0.3">
      <c r="G52" s="241"/>
    </row>
  </sheetData>
  <mergeCells count="12">
    <mergeCell ref="C13:D13"/>
    <mergeCell ref="C8:D8"/>
    <mergeCell ref="C9:D9"/>
    <mergeCell ref="C10:D10"/>
    <mergeCell ref="C11:D11"/>
    <mergeCell ref="C12:D12"/>
    <mergeCell ref="C14:D14"/>
    <mergeCell ref="D17:E17"/>
    <mergeCell ref="A17:B17"/>
    <mergeCell ref="D38:E38"/>
    <mergeCell ref="D29:E29"/>
    <mergeCell ref="D30:E37"/>
  </mergeCells>
  <pageMargins left="0.25" right="0.25" top="0.75" bottom="0.75" header="0.3" footer="0.3"/>
  <pageSetup orientation="portrait" horizontalDpi="0" verticalDpi="0" r:id="rId1"/>
  <headerFooter>
    <oddHeader xml:space="preserve">&amp;C&amp;18DUNGEONS &amp; DRAGONS CHARACTER  - BECMI 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"/>
  <sheetViews>
    <sheetView zoomScale="125" zoomScaleNormal="125" workbookViewId="0">
      <selection activeCell="A3" sqref="A3"/>
    </sheetView>
  </sheetViews>
  <sheetFormatPr defaultRowHeight="15" x14ac:dyDescent="0.25"/>
  <cols>
    <col min="1" max="1" width="39.28515625" customWidth="1"/>
    <col min="2" max="2" width="45.140625" customWidth="1"/>
    <col min="3" max="3" width="32.140625" customWidth="1"/>
  </cols>
  <sheetData>
    <row r="1" spans="1:5" ht="23.45" x14ac:dyDescent="0.45">
      <c r="A1" s="386" t="s">
        <v>19</v>
      </c>
      <c r="B1" s="387"/>
      <c r="C1" s="387"/>
      <c r="D1" s="387"/>
      <c r="E1" s="388"/>
    </row>
    <row r="2" spans="1:5" ht="18" x14ac:dyDescent="0.35">
      <c r="A2" s="352" t="s">
        <v>345</v>
      </c>
      <c r="B2" s="331"/>
      <c r="C2" s="331"/>
      <c r="D2" s="331"/>
      <c r="E2" s="332"/>
    </row>
    <row r="3" spans="1:5" s="260" customFormat="1" ht="24" customHeight="1" x14ac:dyDescent="0.3">
      <c r="A3" s="333" t="s">
        <v>346</v>
      </c>
      <c r="B3" s="261"/>
      <c r="C3" s="261"/>
      <c r="D3" s="261"/>
      <c r="E3" s="334"/>
    </row>
    <row r="4" spans="1:5" s="260" customFormat="1" ht="22.15" customHeight="1" x14ac:dyDescent="0.3">
      <c r="A4" s="333" t="s">
        <v>347</v>
      </c>
      <c r="B4" s="261"/>
      <c r="C4" s="261"/>
      <c r="D4" s="261"/>
      <c r="E4" s="334"/>
    </row>
    <row r="5" spans="1:5" s="260" customFormat="1" ht="18.600000000000001" customHeight="1" x14ac:dyDescent="0.3">
      <c r="A5" s="333" t="s">
        <v>348</v>
      </c>
      <c r="B5" s="261"/>
      <c r="C5" s="261"/>
      <c r="D5" s="261"/>
      <c r="E5" s="334"/>
    </row>
    <row r="6" spans="1:5" s="260" customFormat="1" ht="28.15" customHeight="1" thickBot="1" x14ac:dyDescent="0.35">
      <c r="A6" s="335" t="s">
        <v>349</v>
      </c>
      <c r="B6" s="336"/>
      <c r="C6" s="336"/>
      <c r="D6" s="336"/>
      <c r="E6" s="337"/>
    </row>
    <row r="7" spans="1:5" s="260" customFormat="1" ht="28.15" customHeight="1" thickBot="1" x14ac:dyDescent="0.35">
      <c r="A7" s="353" t="s">
        <v>363</v>
      </c>
      <c r="B7" s="354"/>
      <c r="C7" s="354"/>
      <c r="D7" s="354"/>
      <c r="E7" s="355"/>
    </row>
    <row r="8" spans="1:5" s="80" customFormat="1" ht="26.45" customHeight="1" thickBot="1" x14ac:dyDescent="0.35"/>
    <row r="9" spans="1:5" s="263" customFormat="1" ht="23.45" customHeight="1" thickBot="1" x14ac:dyDescent="0.4">
      <c r="A9" s="350" t="s">
        <v>350</v>
      </c>
      <c r="B9" s="349" t="s">
        <v>376</v>
      </c>
      <c r="C9" s="264"/>
      <c r="D9" s="264"/>
      <c r="E9" s="264"/>
    </row>
    <row r="10" spans="1:5" s="264" customFormat="1" ht="29.45" customHeight="1" x14ac:dyDescent="0.3">
      <c r="A10" s="346" t="s">
        <v>351</v>
      </c>
      <c r="B10" s="370" t="s">
        <v>23</v>
      </c>
    </row>
    <row r="11" spans="1:5" s="264" customFormat="1" ht="25.9" customHeight="1" x14ac:dyDescent="0.3">
      <c r="A11" s="348" t="s">
        <v>353</v>
      </c>
      <c r="B11" s="371" t="s">
        <v>29</v>
      </c>
    </row>
    <row r="12" spans="1:5" s="264" customFormat="1" ht="27" customHeight="1" thickBot="1" x14ac:dyDescent="0.35">
      <c r="A12" s="347" t="s">
        <v>352</v>
      </c>
      <c r="B12" s="372" t="s">
        <v>67</v>
      </c>
    </row>
    <row r="13" spans="1:5" s="288" customFormat="1" ht="18" x14ac:dyDescent="0.35"/>
    <row r="14" spans="1:5" s="288" customFormat="1" ht="18" x14ac:dyDescent="0.35"/>
    <row r="15" spans="1:5" s="262" customFormat="1" ht="22.15" customHeight="1" x14ac:dyDescent="0.3">
      <c r="A15" s="351" t="s">
        <v>344</v>
      </c>
      <c r="B15" s="344"/>
      <c r="C15" s="344"/>
      <c r="D15" s="344"/>
      <c r="E15" s="345"/>
    </row>
    <row r="16" spans="1:5" s="262" customFormat="1" ht="26.45" customHeight="1" x14ac:dyDescent="0.3">
      <c r="A16" s="338" t="s">
        <v>119</v>
      </c>
      <c r="B16" s="339"/>
      <c r="C16" s="339"/>
      <c r="D16" s="339"/>
      <c r="E16" s="340"/>
    </row>
    <row r="17" spans="1:5" s="262" customFormat="1" ht="25.9" customHeight="1" thickBot="1" x14ac:dyDescent="0.35">
      <c r="A17" s="341" t="s">
        <v>120</v>
      </c>
      <c r="B17" s="342"/>
      <c r="C17" s="342"/>
      <c r="D17" s="342"/>
      <c r="E17" s="343"/>
    </row>
    <row r="18" spans="1:5" s="262" customFormat="1" ht="15.6" x14ac:dyDescent="0.3"/>
    <row r="19" spans="1:5" s="262" customFormat="1" ht="15.6" x14ac:dyDescent="0.3"/>
    <row r="20" spans="1:5" s="262" customFormat="1" ht="15.6" x14ac:dyDescent="0.3"/>
    <row r="21" spans="1:5" s="262" customFormat="1" ht="15.6" x14ac:dyDescent="0.3"/>
    <row r="22" spans="1:5" s="262" customFormat="1" ht="15.6" x14ac:dyDescent="0.3"/>
    <row r="23" spans="1:5" s="262" customFormat="1" ht="15.75" x14ac:dyDescent="0.25"/>
  </sheetData>
  <mergeCells count="1">
    <mergeCell ref="A1:E1"/>
  </mergeCells>
  <dataValidations count="1">
    <dataValidation type="list" allowBlank="1" showInputMessage="1" showErrorMessage="1" sqref="B13:B14">
      <formula1>$D$3:$D$4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VARIABLES!$C$5:$C$12</xm:f>
          </x14:formula1>
          <xm:sqref>B10</xm:sqref>
        </x14:dataValidation>
        <x14:dataValidation type="list" allowBlank="1" showInputMessage="1" showErrorMessage="1">
          <x14:formula1>
            <xm:f>VARIABLES!$D$5:$D$6</xm:f>
          </x14:formula1>
          <xm:sqref>B11</xm:sqref>
        </x14:dataValidation>
        <x14:dataValidation type="list" allowBlank="1" showInputMessage="1" showErrorMessage="1">
          <x14:formula1>
            <xm:f>VARIABLES!$E$5:$E$6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1"/>
  <sheetViews>
    <sheetView workbookViewId="0">
      <selection activeCell="A16" sqref="A16"/>
    </sheetView>
  </sheetViews>
  <sheetFormatPr defaultRowHeight="15" x14ac:dyDescent="0.25"/>
  <cols>
    <col min="1" max="1" width="70.42578125" customWidth="1"/>
    <col min="2" max="2" width="47.7109375" customWidth="1"/>
  </cols>
  <sheetData>
    <row r="1" spans="1:2" s="358" customFormat="1" ht="23.45" x14ac:dyDescent="0.45">
      <c r="A1" s="356" t="s">
        <v>171</v>
      </c>
      <c r="B1" s="357" t="s">
        <v>174</v>
      </c>
    </row>
    <row r="2" spans="1:2" ht="14.45" x14ac:dyDescent="0.3">
      <c r="A2" s="40" t="s">
        <v>173</v>
      </c>
      <c r="B2" s="127" t="s">
        <v>367</v>
      </c>
    </row>
    <row r="3" spans="1:2" ht="14.45" x14ac:dyDescent="0.3">
      <c r="A3" s="40" t="s">
        <v>366</v>
      </c>
      <c r="B3" s="127" t="s">
        <v>368</v>
      </c>
    </row>
    <row r="4" spans="1:2" ht="14.45" x14ac:dyDescent="0.3">
      <c r="A4" s="40" t="s">
        <v>369</v>
      </c>
      <c r="B4" s="127"/>
    </row>
    <row r="5" spans="1:2" ht="14.45" x14ac:dyDescent="0.3">
      <c r="A5" s="4" t="s">
        <v>172</v>
      </c>
      <c r="B5" s="127"/>
    </row>
    <row r="6" spans="1:2" ht="14.45" x14ac:dyDescent="0.3">
      <c r="A6" s="3" t="s">
        <v>364</v>
      </c>
      <c r="B6" s="127"/>
    </row>
    <row r="7" spans="1:2" ht="14.45" x14ac:dyDescent="0.3">
      <c r="A7" s="3" t="s">
        <v>365</v>
      </c>
      <c r="B7" s="127"/>
    </row>
    <row r="8" spans="1:2" ht="14.45" x14ac:dyDescent="0.3">
      <c r="A8" s="3" t="s">
        <v>370</v>
      </c>
      <c r="B8" s="127"/>
    </row>
    <row r="9" spans="1:2" ht="14.45" x14ac:dyDescent="0.3">
      <c r="A9" s="3" t="s">
        <v>371</v>
      </c>
      <c r="B9" s="127"/>
    </row>
    <row r="10" spans="1:2" ht="14.45" x14ac:dyDescent="0.3">
      <c r="A10" s="3" t="s">
        <v>372</v>
      </c>
      <c r="B10" s="127"/>
    </row>
    <row r="11" spans="1:2" ht="14.45" x14ac:dyDescent="0.3">
      <c r="A11" s="3" t="s">
        <v>374</v>
      </c>
      <c r="B11" s="127"/>
    </row>
    <row r="12" spans="1:2" ht="14.45" x14ac:dyDescent="0.3">
      <c r="A12" s="3" t="s">
        <v>375</v>
      </c>
      <c r="B12" s="127"/>
    </row>
    <row r="13" spans="1:2" ht="14.45" x14ac:dyDescent="0.3">
      <c r="A13" s="3" t="s">
        <v>377</v>
      </c>
      <c r="B13" s="127"/>
    </row>
    <row r="14" spans="1:2" ht="14.45" x14ac:dyDescent="0.3">
      <c r="A14" s="3" t="s">
        <v>378</v>
      </c>
      <c r="B14" s="127"/>
    </row>
    <row r="15" spans="1:2" ht="14.45" x14ac:dyDescent="0.3">
      <c r="A15" s="3" t="s">
        <v>379</v>
      </c>
      <c r="B15" s="127"/>
    </row>
    <row r="16" spans="1:2" ht="14.45" x14ac:dyDescent="0.3">
      <c r="A16" s="3"/>
      <c r="B16" s="127"/>
    </row>
    <row r="17" spans="1:2" ht="14.45" x14ac:dyDescent="0.3">
      <c r="A17" s="3"/>
      <c r="B17" s="127"/>
    </row>
    <row r="18" spans="1:2" ht="14.45" x14ac:dyDescent="0.3">
      <c r="A18" s="3"/>
      <c r="B18" s="127"/>
    </row>
    <row r="19" spans="1:2" ht="14.45" x14ac:dyDescent="0.3">
      <c r="A19" s="3"/>
      <c r="B19" s="127"/>
    </row>
    <row r="20" spans="1:2" ht="14.45" x14ac:dyDescent="0.3">
      <c r="A20" s="3"/>
      <c r="B20" s="127"/>
    </row>
    <row r="21" spans="1:2" ht="14.45" x14ac:dyDescent="0.3">
      <c r="A21" s="3"/>
      <c r="B21" s="1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87"/>
  <sheetViews>
    <sheetView workbookViewId="0">
      <selection activeCell="B21" sqref="B21"/>
    </sheetView>
  </sheetViews>
  <sheetFormatPr defaultRowHeight="15" x14ac:dyDescent="0.25"/>
  <cols>
    <col min="1" max="1" width="18.28515625" style="58" customWidth="1"/>
    <col min="2" max="2" width="32.140625" customWidth="1"/>
    <col min="3" max="3" width="24.5703125" customWidth="1"/>
    <col min="4" max="4" width="9.28515625" customWidth="1"/>
    <col min="5" max="5" width="15.140625" customWidth="1"/>
    <col min="6" max="6" width="13.42578125" customWidth="1"/>
    <col min="7" max="7" width="21.7109375" customWidth="1"/>
    <col min="8" max="8" width="6.85546875" customWidth="1"/>
    <col min="9" max="9" width="7.7109375" customWidth="1"/>
    <col min="10" max="10" width="20.85546875" customWidth="1"/>
    <col min="11" max="11" width="13.140625" customWidth="1"/>
    <col min="12" max="12" width="17.140625" customWidth="1"/>
    <col min="13" max="13" width="22.85546875" customWidth="1"/>
    <col min="14" max="14" width="16.42578125" customWidth="1"/>
  </cols>
  <sheetData>
    <row r="1" spans="1:11" ht="14.45" x14ac:dyDescent="0.3">
      <c r="A1" s="155" t="s">
        <v>210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s="156" customFormat="1" ht="14.45" x14ac:dyDescent="0.3">
      <c r="A2" s="56">
        <v>1</v>
      </c>
      <c r="B2" s="56">
        <v>2</v>
      </c>
      <c r="C2" s="56">
        <v>3</v>
      </c>
      <c r="D2" s="56">
        <v>4</v>
      </c>
      <c r="E2" s="56">
        <v>5</v>
      </c>
      <c r="F2" s="56">
        <v>6</v>
      </c>
      <c r="G2" s="56">
        <v>7</v>
      </c>
      <c r="H2" s="56">
        <v>8</v>
      </c>
      <c r="I2" s="56">
        <v>9</v>
      </c>
      <c r="J2" s="56">
        <v>10</v>
      </c>
    </row>
    <row r="3" spans="1:11" ht="14.45" x14ac:dyDescent="0.3">
      <c r="A3" s="163" t="s">
        <v>96</v>
      </c>
      <c r="B3" s="164" t="str">
        <f>'USER TAB CUSTOM &amp; INSTRUCTIONS'!B11</f>
        <v>Prime Requisite</v>
      </c>
    </row>
    <row r="4" spans="1:11" ht="14.45" x14ac:dyDescent="0.3">
      <c r="A4" s="59"/>
      <c r="B4" s="77" t="s">
        <v>79</v>
      </c>
      <c r="C4" s="57" t="s">
        <v>80</v>
      </c>
      <c r="D4" s="57" t="s">
        <v>77</v>
      </c>
      <c r="E4" s="51" t="s">
        <v>81</v>
      </c>
      <c r="F4" s="65" t="s">
        <v>82</v>
      </c>
      <c r="G4" s="57" t="s">
        <v>83</v>
      </c>
      <c r="H4" s="57" t="s">
        <v>84</v>
      </c>
      <c r="I4" s="57" t="s">
        <v>77</v>
      </c>
      <c r="J4" s="77" t="s">
        <v>85</v>
      </c>
    </row>
    <row r="5" spans="1:11" ht="14.45" x14ac:dyDescent="0.3">
      <c r="A5" s="2">
        <v>1</v>
      </c>
      <c r="B5" s="2">
        <f ca="1">RANDBETWEEN(1,6)+RANDBETWEEN(1,6)+RANDBETWEEN(1,6)</f>
        <v>14</v>
      </c>
      <c r="C5" s="2">
        <f ca="1">B5+RAND()</f>
        <v>14.192357153138357</v>
      </c>
      <c r="D5" s="2">
        <f ca="1">RANK(C5,$C$5:$C$10)</f>
        <v>1</v>
      </c>
      <c r="E5" s="2">
        <f ca="1">B5</f>
        <v>14</v>
      </c>
      <c r="F5" s="22">
        <f ca="1">VLOOKUP(A5,$D$5:$E$10,2,FALSE)</f>
        <v>14</v>
      </c>
      <c r="G5" s="2" t="str">
        <f t="shared" ref="G5:G10" si="0">A15</f>
        <v>Strength</v>
      </c>
      <c r="H5" s="2">
        <f t="shared" ref="H5:H10" ca="1" si="1">RAND()+IF(OR($B$23=A15,$C$23=A15),1,0)</f>
        <v>1.0547020980401887</v>
      </c>
      <c r="I5" s="2">
        <f ca="1">RANK(H5,$H$5:$H$10)</f>
        <v>2</v>
      </c>
      <c r="J5" s="76">
        <f ca="1">VLOOKUP(I5,$A$5:$F$10,6,FALSE)</f>
        <v>12</v>
      </c>
    </row>
    <row r="6" spans="1:11" ht="14.45" x14ac:dyDescent="0.3">
      <c r="A6" s="2">
        <v>2</v>
      </c>
      <c r="B6" s="2">
        <f t="shared" ref="B6:B10" ca="1" si="2">RANDBETWEEN(1,6)+RANDBETWEEN(1,6)+RANDBETWEEN(1,6)</f>
        <v>9</v>
      </c>
      <c r="C6" s="2">
        <f t="shared" ref="C6:C10" ca="1" si="3">B6+RAND()</f>
        <v>9.2166587898571475</v>
      </c>
      <c r="D6" s="2">
        <f t="shared" ref="D6:D10" ca="1" si="4">RANK(C6,$C$5:$C$10)</f>
        <v>5</v>
      </c>
      <c r="E6" s="2">
        <f t="shared" ref="E6:E10" ca="1" si="5">B6</f>
        <v>9</v>
      </c>
      <c r="F6" s="22">
        <f t="shared" ref="F6:F10" ca="1" si="6">VLOOKUP(A6,$D$5:$E$10,2,FALSE)</f>
        <v>12</v>
      </c>
      <c r="G6" s="2" t="str">
        <f t="shared" si="0"/>
        <v>Intelligence</v>
      </c>
      <c r="H6" s="2">
        <f t="shared" ca="1" si="1"/>
        <v>0.4037375239787655</v>
      </c>
      <c r="I6" s="2">
        <f t="shared" ref="I6:I10" ca="1" si="7">RANK(H6,$H$5:$H$10)</f>
        <v>4</v>
      </c>
      <c r="J6" s="76">
        <f t="shared" ref="J6:J10" ca="1" si="8">VLOOKUP(I6,$A$5:$F$10,6,FALSE)</f>
        <v>9</v>
      </c>
    </row>
    <row r="7" spans="1:11" ht="14.45" x14ac:dyDescent="0.3">
      <c r="A7" s="2">
        <v>3</v>
      </c>
      <c r="B7" s="2">
        <f t="shared" ca="1" si="2"/>
        <v>9</v>
      </c>
      <c r="C7" s="2">
        <f t="shared" ca="1" si="3"/>
        <v>9.5339673167261765</v>
      </c>
      <c r="D7" s="2">
        <f t="shared" ca="1" si="4"/>
        <v>4</v>
      </c>
      <c r="E7" s="2">
        <f t="shared" ca="1" si="5"/>
        <v>9</v>
      </c>
      <c r="F7" s="22">
        <f t="shared" ca="1" si="6"/>
        <v>12</v>
      </c>
      <c r="G7" s="2" t="str">
        <f t="shared" si="0"/>
        <v>Wisdom</v>
      </c>
      <c r="H7" s="2">
        <f t="shared" ca="1" si="1"/>
        <v>9.7427482970479651E-2</v>
      </c>
      <c r="I7" s="2">
        <f t="shared" ca="1" si="7"/>
        <v>6</v>
      </c>
      <c r="J7" s="76">
        <f t="shared" ca="1" si="8"/>
        <v>7</v>
      </c>
    </row>
    <row r="8" spans="1:11" ht="14.45" x14ac:dyDescent="0.3">
      <c r="A8" s="2">
        <v>4</v>
      </c>
      <c r="B8" s="2">
        <f t="shared" ca="1" si="2"/>
        <v>12</v>
      </c>
      <c r="C8" s="2">
        <f t="shared" ca="1" si="3"/>
        <v>12.130716429597451</v>
      </c>
      <c r="D8" s="2">
        <f t="shared" ca="1" si="4"/>
        <v>3</v>
      </c>
      <c r="E8" s="2">
        <f t="shared" ca="1" si="5"/>
        <v>12</v>
      </c>
      <c r="F8" s="22">
        <f t="shared" ca="1" si="6"/>
        <v>9</v>
      </c>
      <c r="G8" s="2" t="str">
        <f t="shared" si="0"/>
        <v>Dexterity</v>
      </c>
      <c r="H8" s="2">
        <f t="shared" ca="1" si="1"/>
        <v>1.3647090587207207</v>
      </c>
      <c r="I8" s="2">
        <f t="shared" ca="1" si="7"/>
        <v>1</v>
      </c>
      <c r="J8" s="76">
        <f t="shared" ca="1" si="8"/>
        <v>14</v>
      </c>
    </row>
    <row r="9" spans="1:11" ht="14.45" x14ac:dyDescent="0.3">
      <c r="A9" s="2">
        <v>5</v>
      </c>
      <c r="B9" s="2">
        <f t="shared" ca="1" si="2"/>
        <v>12</v>
      </c>
      <c r="C9" s="2">
        <f t="shared" ca="1" si="3"/>
        <v>12.816413018029296</v>
      </c>
      <c r="D9" s="2">
        <f t="shared" ca="1" si="4"/>
        <v>2</v>
      </c>
      <c r="E9" s="2">
        <f t="shared" ca="1" si="5"/>
        <v>12</v>
      </c>
      <c r="F9" s="22">
        <f t="shared" ca="1" si="6"/>
        <v>9</v>
      </c>
      <c r="G9" s="2" t="str">
        <f t="shared" si="0"/>
        <v>Constitution</v>
      </c>
      <c r="H9" s="2">
        <f t="shared" ca="1" si="1"/>
        <v>0.87490899380426446</v>
      </c>
      <c r="I9" s="2">
        <f t="shared" ca="1" si="7"/>
        <v>3</v>
      </c>
      <c r="J9" s="76">
        <f t="shared" ca="1" si="8"/>
        <v>12</v>
      </c>
    </row>
    <row r="10" spans="1:11" ht="14.45" x14ac:dyDescent="0.3">
      <c r="A10" s="2">
        <v>6</v>
      </c>
      <c r="B10" s="2">
        <f t="shared" ca="1" si="2"/>
        <v>7</v>
      </c>
      <c r="C10" s="2">
        <f t="shared" ca="1" si="3"/>
        <v>7.7414418510511931</v>
      </c>
      <c r="D10" s="2">
        <f t="shared" ca="1" si="4"/>
        <v>6</v>
      </c>
      <c r="E10" s="2">
        <f t="shared" ca="1" si="5"/>
        <v>7</v>
      </c>
      <c r="F10" s="22">
        <f t="shared" ca="1" si="6"/>
        <v>7</v>
      </c>
      <c r="G10" s="2" t="str">
        <f t="shared" si="0"/>
        <v>Charisma</v>
      </c>
      <c r="H10" s="2">
        <f t="shared" ca="1" si="1"/>
        <v>0.16363310188701652</v>
      </c>
      <c r="I10" s="2">
        <f t="shared" ca="1" si="7"/>
        <v>5</v>
      </c>
      <c r="J10" s="76">
        <f t="shared" ca="1" si="8"/>
        <v>9</v>
      </c>
    </row>
    <row r="11" spans="1:11" thickBot="1" x14ac:dyDescent="0.35">
      <c r="A11" s="11"/>
      <c r="B11" s="11"/>
      <c r="C11" s="11"/>
      <c r="D11" s="11"/>
      <c r="E11" s="11"/>
      <c r="F11" s="11"/>
      <c r="G11" s="11"/>
      <c r="H11" s="11"/>
      <c r="I11" s="11"/>
    </row>
    <row r="12" spans="1:11" ht="14.45" x14ac:dyDescent="0.3">
      <c r="A12" s="66" t="s">
        <v>17</v>
      </c>
      <c r="B12" s="67"/>
      <c r="C12" s="68"/>
    </row>
    <row r="13" spans="1:11" s="37" customFormat="1" ht="14.45" x14ac:dyDescent="0.3">
      <c r="A13" s="69" t="s">
        <v>72</v>
      </c>
      <c r="B13" s="34" t="str">
        <f ca="1">CLASS!B4</f>
        <v>Halfling</v>
      </c>
      <c r="C13" s="70"/>
      <c r="J13" s="36"/>
      <c r="K13" s="64"/>
    </row>
    <row r="14" spans="1:11" s="37" customFormat="1" thickBot="1" x14ac:dyDescent="0.35">
      <c r="A14" s="41" t="s">
        <v>17</v>
      </c>
      <c r="B14" s="74" t="s">
        <v>76</v>
      </c>
      <c r="C14" s="154" t="s">
        <v>50</v>
      </c>
      <c r="D14" s="152" t="s">
        <v>208</v>
      </c>
      <c r="E14" s="152" t="s">
        <v>209</v>
      </c>
      <c r="F14" s="152" t="s">
        <v>211</v>
      </c>
      <c r="J14" s="36"/>
      <c r="K14" s="64"/>
    </row>
    <row r="15" spans="1:11" s="37" customFormat="1" ht="14.45" x14ac:dyDescent="0.3">
      <c r="A15" s="72" t="s">
        <v>11</v>
      </c>
      <c r="B15" s="2">
        <f ca="1">IF($B$3=VARIABLES!D5,B5,J5)</f>
        <v>12</v>
      </c>
      <c r="C15" s="43" t="str">
        <f ca="1">VLOOKUP($B$15,$A$41:$F$47,B2,TRUE)</f>
        <v>No adjustments due to Strength</v>
      </c>
      <c r="D15" s="23" t="str">
        <f ca="1">VLOOKUP($B$15,$A$41:$F$47,C2,TRUE)</f>
        <v>X</v>
      </c>
      <c r="E15" s="23" t="str">
        <f ca="1">VLOOKUP($B$15,$A$41:$F$47,D2,TRUE)</f>
        <v>Y</v>
      </c>
      <c r="F15" s="23">
        <f ca="1">VLOOKUP($B$15,$A$41:$F$47,E2,TRUE)</f>
        <v>0</v>
      </c>
      <c r="J15" s="36"/>
      <c r="K15" s="64"/>
    </row>
    <row r="16" spans="1:11" s="37" customFormat="1" ht="14.45" x14ac:dyDescent="0.3">
      <c r="A16" s="157" t="s">
        <v>13</v>
      </c>
      <c r="B16" s="158">
        <f ca="1">IF($B$3=VARIABLES!D5,B6,J6)</f>
        <v>9</v>
      </c>
      <c r="C16" s="159" t="str">
        <f ca="1">VLOOKUP($B$16,$A$49:$F$55,B2,TRUE)</f>
        <v>Reads, writes native language(s)</v>
      </c>
      <c r="D16" s="160">
        <f ca="1">VLOOKUP($B$16,$A$49:$F$55,C2,TRUE)</f>
        <v>0</v>
      </c>
      <c r="E16" s="160" t="str">
        <f ca="1">VLOOKUP($B$16,$A$49:$F$55,D2,TRUE)</f>
        <v>Y</v>
      </c>
      <c r="F16" s="160">
        <f ca="1">VLOOKUP($B$16,$A$49:$F$55,E2,TRUE)</f>
        <v>0</v>
      </c>
      <c r="J16" s="36"/>
      <c r="K16" s="64"/>
    </row>
    <row r="17" spans="1:11" s="37" customFormat="1" ht="14.45" x14ac:dyDescent="0.3">
      <c r="A17" s="73" t="s">
        <v>12</v>
      </c>
      <c r="B17" s="2">
        <f ca="1">IF($B$3=VARIABLES!D5,B7,J7)</f>
        <v>7</v>
      </c>
      <c r="C17" s="43" t="str">
        <f ca="1">VLOOKUP($B$17,$A$57:$F$63,B2,TRUE)</f>
        <v>-1 on magic-based saving throws</v>
      </c>
      <c r="D17" s="23" t="str">
        <f ca="1">VLOOKUP($B$17,$A$57:$F$63,C2,TRUE)</f>
        <v>X</v>
      </c>
      <c r="E17" s="23" t="str">
        <f ca="1">VLOOKUP($B$17,$A$57:$F$63,D2,TRUE)</f>
        <v>YY</v>
      </c>
      <c r="F17" s="23">
        <f ca="1">VLOOKUP($B$17,$A$57:$F$63,E2,TRUE)</f>
        <v>0</v>
      </c>
      <c r="J17" s="36"/>
      <c r="K17" s="64"/>
    </row>
    <row r="18" spans="1:11" s="37" customFormat="1" ht="14.45" x14ac:dyDescent="0.3">
      <c r="A18" s="157" t="s">
        <v>14</v>
      </c>
      <c r="B18" s="158">
        <f ca="1">IF($B$3=VARIABLES!D5,B8,J8)</f>
        <v>14</v>
      </c>
      <c r="C18" s="159" t="str">
        <f ca="1">VLOOKUP($B$18,$A$65:$F$71,B2,TRUE)</f>
        <v>+1 to hit with missile, -1 AC bonus, +1 initiative</v>
      </c>
      <c r="D18" s="160">
        <f ca="1">VLOOKUP($B$18,$A$65:$F$71,C2,TRUE)</f>
        <v>-1</v>
      </c>
      <c r="E18" s="160" t="str">
        <f ca="1">VLOOKUP($B$18,$A$65:$F$71,D2,TRUE)</f>
        <v>Y</v>
      </c>
      <c r="F18" s="160">
        <f ca="1">VLOOKUP($B$18,$A$65:$F$71,E2,TRUE)</f>
        <v>0</v>
      </c>
      <c r="J18" s="36"/>
      <c r="K18" s="64"/>
    </row>
    <row r="19" spans="1:11" s="37" customFormat="1" ht="15.75" customHeight="1" x14ac:dyDescent="0.3">
      <c r="A19" s="73" t="s">
        <v>15</v>
      </c>
      <c r="B19" s="2">
        <f ca="1">IF($B$3=VARIABLES!D5,B9,J9)</f>
        <v>12</v>
      </c>
      <c r="C19" s="43" t="str">
        <f ca="1">VLOOKUP($B$19,$A$73:$F$79,B2,TRUE)</f>
        <v>No adjustment to hit points</v>
      </c>
      <c r="D19" s="23">
        <f ca="1">VLOOKUP($B$19,$A$73:$F$79,C2,TRUE)</f>
        <v>0</v>
      </c>
      <c r="E19" s="23" t="str">
        <f ca="1">VLOOKUP($B$19,$A$73:$F$79,D2,TRUE)</f>
        <v>Y</v>
      </c>
      <c r="F19" s="23">
        <f ca="1">VLOOKUP($B$19,$A$73:$F$79,E2,TRUE)</f>
        <v>0</v>
      </c>
      <c r="J19" s="36"/>
      <c r="K19" s="64"/>
    </row>
    <row r="20" spans="1:11" s="37" customFormat="1" thickBot="1" x14ac:dyDescent="0.35">
      <c r="A20" s="161" t="s">
        <v>16</v>
      </c>
      <c r="B20" s="158">
        <f ca="1">IF($B$3=VARIABLES!D5,B10,J10)</f>
        <v>9</v>
      </c>
      <c r="C20" s="159" t="str">
        <f ca="1">VLOOKUP($B$20,$A$81:$F$87,B2,TRUE)</f>
        <v>No Reaction mod, 4 Max Retainers with 7 Morale</v>
      </c>
      <c r="D20" s="160" t="str">
        <f ca="1">VLOOKUP($B$20,$A$81:$F$87,C2,TRUE)</f>
        <v>X</v>
      </c>
      <c r="E20" s="160" t="str">
        <f ca="1">VLOOKUP($B$20,$A$81:$F$87,D2,TRUE)</f>
        <v>Y</v>
      </c>
      <c r="F20" s="160">
        <f ca="1">VLOOKUP($B$20,$A$81:$F$87,E2,TRUE)</f>
        <v>0</v>
      </c>
      <c r="J20" s="36"/>
      <c r="K20" s="64"/>
    </row>
    <row r="21" spans="1:11" s="37" customFormat="1" thickBot="1" x14ac:dyDescent="0.35">
      <c r="A21" s="14" t="s">
        <v>30</v>
      </c>
      <c r="B21" s="75">
        <f ca="1">SUM(B15:B20)</f>
        <v>63</v>
      </c>
      <c r="C21" s="7"/>
      <c r="J21" s="36"/>
      <c r="K21" s="64"/>
    </row>
    <row r="22" spans="1:11" s="156" customFormat="1" ht="14.45" x14ac:dyDescent="0.3">
      <c r="A22" s="165"/>
      <c r="B22" s="166"/>
      <c r="C22" s="167"/>
      <c r="J22" s="167"/>
      <c r="K22" s="166"/>
    </row>
    <row r="23" spans="1:11" thickBot="1" x14ac:dyDescent="0.35">
      <c r="A23" s="51" t="s">
        <v>31</v>
      </c>
      <c r="B23" s="34" t="str">
        <f ca="1">B25</f>
        <v>Dexterity</v>
      </c>
      <c r="C23" s="34" t="str">
        <f ca="1">D25</f>
        <v>Strength</v>
      </c>
      <c r="D23" s="11"/>
      <c r="E23" s="11"/>
      <c r="F23" s="11"/>
      <c r="G23" s="11"/>
      <c r="H23" s="11"/>
      <c r="I23" s="11"/>
    </row>
    <row r="24" spans="1:11" thickBot="1" x14ac:dyDescent="0.35">
      <c r="A24" s="45" t="s">
        <v>69</v>
      </c>
      <c r="B24" s="46" t="s">
        <v>63</v>
      </c>
      <c r="C24" s="52" t="s">
        <v>68</v>
      </c>
      <c r="D24" s="10" t="s">
        <v>18</v>
      </c>
      <c r="E24" s="57" t="s">
        <v>74</v>
      </c>
      <c r="F24" s="64"/>
      <c r="H24" s="64"/>
      <c r="I24" s="64"/>
    </row>
    <row r="25" spans="1:11" thickBot="1" x14ac:dyDescent="0.35">
      <c r="A25" s="31" t="s">
        <v>64</v>
      </c>
      <c r="B25" s="44" t="str">
        <f ca="1">CLASS!C4</f>
        <v>Dexterity</v>
      </c>
      <c r="C25" s="53">
        <f ca="1">VLOOKUP(B25,A15:B20,2,FALSE)</f>
        <v>14</v>
      </c>
      <c r="D25" s="54" t="str">
        <f ca="1">CLASS!D4</f>
        <v>Strength</v>
      </c>
      <c r="E25" s="34">
        <f ca="1">IFERROR(VLOOKUP(D25,A15:B20,2,FALSE),0)</f>
        <v>12</v>
      </c>
      <c r="F25" s="64"/>
      <c r="H25" s="64"/>
      <c r="I25" s="64"/>
    </row>
    <row r="26" spans="1:11" thickBot="1" x14ac:dyDescent="0.35">
      <c r="A26" s="27" t="s">
        <v>71</v>
      </c>
      <c r="B26" s="50" t="str">
        <f ca="1" xml:space="preserve"> IF(AND(B15&gt;=13,B16&gt;=16),B38,IF(AND(B15&gt;=13,AND(B16&gt;=13,B16&lt;16)),B37,VLOOKUP(B27,A34:B36,2,TRUE)))</f>
        <v>No adjustment to experience points</v>
      </c>
      <c r="C26" s="58" t="s">
        <v>78</v>
      </c>
    </row>
    <row r="27" spans="1:11" thickBot="1" x14ac:dyDescent="0.35">
      <c r="A27" s="27" t="s">
        <v>75</v>
      </c>
      <c r="B27" s="170">
        <f ca="1">(B15+B16)/2</f>
        <v>10.5</v>
      </c>
      <c r="E27" s="238" t="s">
        <v>319</v>
      </c>
    </row>
    <row r="28" spans="1:11" thickBot="1" x14ac:dyDescent="0.35">
      <c r="A28" s="27" t="s">
        <v>70</v>
      </c>
      <c r="B28" s="50" t="str">
        <f ca="1">IF(AND(B15&gt;=13,B18&gt;=13),B38,IF(OR(B15&gt;=13,B18&gt;=13),B37,VLOOKUP(B29,A34:B36,2,TRUE)))</f>
        <v>+ 5% to earned experience points</v>
      </c>
      <c r="E28" s="240" t="str">
        <f ca="1">IF(OR(B18&lt;9,B19&lt;9),"Too low for halfling","halfling OK")</f>
        <v>halfling OK</v>
      </c>
    </row>
    <row r="29" spans="1:11" thickBot="1" x14ac:dyDescent="0.35">
      <c r="A29" s="55" t="s">
        <v>73</v>
      </c>
      <c r="B29" s="171">
        <f ca="1">(B15+B18)/2</f>
        <v>13</v>
      </c>
      <c r="E29" s="239" t="str">
        <f ca="1">IF(AND(B13="elf",B16&lt;9),"TOO LOW INTELLIGENCE FOR ELF--MUST RE-ROLL",IF(AND(B13="DWARF",B19&lt;9),"TOO LOW OF CONSTITUTION FOR DWARF--MUST RE-ROLL",IF(AND(B13="HALFLING",E28="TOO LOW FOR HALFLING"),"TOO LOW DEX AND/OR CON FOR HALFLING--MUST RE-ROLL","ability minimums ok")))</f>
        <v>ability minimums ok</v>
      </c>
    </row>
    <row r="30" spans="1:11" s="37" customFormat="1" ht="14.45" x14ac:dyDescent="0.3">
      <c r="A30" s="48" t="s">
        <v>99</v>
      </c>
      <c r="B30" s="49" t="str">
        <f ca="1">IF(B13="Elf",B26,IF(B13="halfling",B28,VLOOKUP(C25,A34:B38,2,TRUE)))</f>
        <v>+ 5% to earned experience points</v>
      </c>
      <c r="C30" s="78"/>
    </row>
    <row r="31" spans="1:11" s="37" customFormat="1" ht="14.45" x14ac:dyDescent="0.3">
      <c r="A31" s="168" t="s">
        <v>225</v>
      </c>
      <c r="B31" s="169"/>
      <c r="C31" s="78"/>
    </row>
    <row r="32" spans="1:11" s="37" customFormat="1" ht="14.45" x14ac:dyDescent="0.3">
      <c r="A32" s="102"/>
      <c r="B32" s="103"/>
      <c r="C32" s="78"/>
    </row>
    <row r="33" spans="1:10" ht="14.45" x14ac:dyDescent="0.3">
      <c r="A33" s="24" t="s">
        <v>86</v>
      </c>
      <c r="B33" s="24"/>
      <c r="C33" s="24"/>
      <c r="D33" s="24"/>
    </row>
    <row r="34" spans="1:10" ht="14.45" x14ac:dyDescent="0.3">
      <c r="A34" s="61">
        <v>3</v>
      </c>
      <c r="B34" s="30" t="s">
        <v>58</v>
      </c>
    </row>
    <row r="35" spans="1:10" ht="14.45" x14ac:dyDescent="0.3">
      <c r="A35" s="62">
        <v>6</v>
      </c>
      <c r="B35" s="26" t="s">
        <v>59</v>
      </c>
    </row>
    <row r="36" spans="1:10" ht="14.45" x14ac:dyDescent="0.3">
      <c r="A36" s="62">
        <v>9</v>
      </c>
      <c r="B36" s="26" t="s">
        <v>60</v>
      </c>
    </row>
    <row r="37" spans="1:10" ht="14.45" x14ac:dyDescent="0.3">
      <c r="A37" s="62">
        <v>13</v>
      </c>
      <c r="B37" s="26" t="s">
        <v>61</v>
      </c>
    </row>
    <row r="38" spans="1:10" ht="14.45" x14ac:dyDescent="0.3">
      <c r="A38" s="62">
        <v>16</v>
      </c>
      <c r="B38" s="29" t="s">
        <v>62</v>
      </c>
    </row>
    <row r="40" spans="1:10" ht="14.45" x14ac:dyDescent="0.3">
      <c r="A40" s="63" t="s">
        <v>11</v>
      </c>
      <c r="B40" s="25"/>
      <c r="C40" s="162"/>
      <c r="D40" s="57"/>
      <c r="E40" s="37"/>
      <c r="F40" s="37"/>
      <c r="G40" s="37"/>
      <c r="H40" s="37"/>
      <c r="I40" s="37"/>
      <c r="J40" s="37"/>
    </row>
    <row r="41" spans="1:10" ht="14.45" x14ac:dyDescent="0.3">
      <c r="A41" s="60">
        <v>3</v>
      </c>
      <c r="B41" s="20" t="s">
        <v>33</v>
      </c>
      <c r="C41" s="2" t="s">
        <v>212</v>
      </c>
      <c r="D41" s="2" t="s">
        <v>213</v>
      </c>
    </row>
    <row r="42" spans="1:10" ht="14.45" x14ac:dyDescent="0.3">
      <c r="A42" s="60">
        <v>4</v>
      </c>
      <c r="B42" s="20" t="s">
        <v>34</v>
      </c>
      <c r="C42" s="2" t="s">
        <v>212</v>
      </c>
      <c r="D42" s="2" t="s">
        <v>213</v>
      </c>
    </row>
    <row r="43" spans="1:10" x14ac:dyDescent="0.25">
      <c r="A43" s="60">
        <v>6</v>
      </c>
      <c r="B43" s="20" t="s">
        <v>35</v>
      </c>
      <c r="C43" s="2" t="s">
        <v>212</v>
      </c>
      <c r="D43" s="2" t="s">
        <v>213</v>
      </c>
    </row>
    <row r="44" spans="1:10" x14ac:dyDescent="0.25">
      <c r="A44" s="60">
        <v>9</v>
      </c>
      <c r="B44" s="20" t="s">
        <v>49</v>
      </c>
      <c r="C44" s="2" t="s">
        <v>212</v>
      </c>
      <c r="D44" s="2" t="s">
        <v>213</v>
      </c>
    </row>
    <row r="45" spans="1:10" x14ac:dyDescent="0.25">
      <c r="A45" s="60">
        <v>13</v>
      </c>
      <c r="B45" s="20" t="s">
        <v>36</v>
      </c>
      <c r="C45" s="2" t="s">
        <v>212</v>
      </c>
      <c r="D45" s="2" t="s">
        <v>213</v>
      </c>
    </row>
    <row r="46" spans="1:10" x14ac:dyDescent="0.25">
      <c r="A46" s="60">
        <v>16</v>
      </c>
      <c r="B46" s="20" t="s">
        <v>37</v>
      </c>
      <c r="C46" s="2" t="s">
        <v>212</v>
      </c>
      <c r="D46" s="2" t="s">
        <v>213</v>
      </c>
    </row>
    <row r="47" spans="1:10" x14ac:dyDescent="0.25">
      <c r="A47" s="60">
        <v>18</v>
      </c>
      <c r="B47" s="20" t="s">
        <v>38</v>
      </c>
      <c r="C47" s="2" t="s">
        <v>212</v>
      </c>
      <c r="D47" s="2" t="s">
        <v>214</v>
      </c>
    </row>
    <row r="48" spans="1:10" x14ac:dyDescent="0.25">
      <c r="A48" s="59" t="s">
        <v>13</v>
      </c>
      <c r="B48" s="51"/>
      <c r="C48" s="77" t="s">
        <v>163</v>
      </c>
      <c r="D48" s="57"/>
    </row>
    <row r="49" spans="1:4" x14ac:dyDescent="0.25">
      <c r="A49" s="60">
        <v>3</v>
      </c>
      <c r="B49" s="1" t="s">
        <v>333</v>
      </c>
      <c r="C49" s="2">
        <v>0</v>
      </c>
      <c r="D49" s="2" t="s">
        <v>213</v>
      </c>
    </row>
    <row r="50" spans="1:4" x14ac:dyDescent="0.25">
      <c r="A50" s="60">
        <v>4</v>
      </c>
      <c r="B50" s="1" t="s">
        <v>39</v>
      </c>
      <c r="C50" s="2">
        <v>0</v>
      </c>
      <c r="D50" s="2" t="s">
        <v>213</v>
      </c>
    </row>
    <row r="51" spans="1:4" x14ac:dyDescent="0.25">
      <c r="A51" s="60">
        <v>6</v>
      </c>
      <c r="B51" s="1" t="s">
        <v>40</v>
      </c>
      <c r="C51" s="2">
        <v>0</v>
      </c>
      <c r="D51" s="2" t="s">
        <v>213</v>
      </c>
    </row>
    <row r="52" spans="1:4" x14ac:dyDescent="0.25">
      <c r="A52" s="60">
        <v>9</v>
      </c>
      <c r="B52" s="1" t="s">
        <v>332</v>
      </c>
      <c r="C52" s="2">
        <v>0</v>
      </c>
      <c r="D52" s="2" t="s">
        <v>213</v>
      </c>
    </row>
    <row r="53" spans="1:4" x14ac:dyDescent="0.25">
      <c r="A53" s="60">
        <v>13</v>
      </c>
      <c r="B53" s="1" t="s">
        <v>329</v>
      </c>
      <c r="C53" s="2">
        <v>1</v>
      </c>
      <c r="D53" s="2" t="s">
        <v>213</v>
      </c>
    </row>
    <row r="54" spans="1:4" x14ac:dyDescent="0.25">
      <c r="A54" s="60">
        <v>16</v>
      </c>
      <c r="B54" s="1" t="s">
        <v>330</v>
      </c>
      <c r="C54" s="2">
        <v>2</v>
      </c>
      <c r="D54" s="2" t="s">
        <v>213</v>
      </c>
    </row>
    <row r="55" spans="1:4" x14ac:dyDescent="0.25">
      <c r="A55" s="60">
        <v>18</v>
      </c>
      <c r="B55" s="1" t="s">
        <v>331</v>
      </c>
      <c r="C55" s="2">
        <v>3</v>
      </c>
      <c r="D55" s="2" t="s">
        <v>213</v>
      </c>
    </row>
    <row r="56" spans="1:4" x14ac:dyDescent="0.25">
      <c r="A56" s="59" t="s">
        <v>12</v>
      </c>
      <c r="B56" s="51"/>
      <c r="C56" s="57"/>
      <c r="D56" s="57"/>
    </row>
    <row r="57" spans="1:4" x14ac:dyDescent="0.25">
      <c r="A57" s="60">
        <v>3</v>
      </c>
      <c r="B57" s="1" t="s">
        <v>41</v>
      </c>
      <c r="C57" s="2" t="s">
        <v>212</v>
      </c>
      <c r="D57" s="2" t="s">
        <v>213</v>
      </c>
    </row>
    <row r="58" spans="1:4" x14ac:dyDescent="0.25">
      <c r="A58" s="60">
        <v>4</v>
      </c>
      <c r="B58" s="1" t="s">
        <v>42</v>
      </c>
      <c r="C58" s="2" t="s">
        <v>212</v>
      </c>
      <c r="D58" s="2" t="s">
        <v>213</v>
      </c>
    </row>
    <row r="59" spans="1:4" x14ac:dyDescent="0.25">
      <c r="A59" s="60">
        <v>6</v>
      </c>
      <c r="B59" s="1" t="s">
        <v>43</v>
      </c>
      <c r="C59" s="2" t="s">
        <v>212</v>
      </c>
      <c r="D59" s="2" t="s">
        <v>214</v>
      </c>
    </row>
    <row r="60" spans="1:4" x14ac:dyDescent="0.25">
      <c r="A60" s="60">
        <v>9</v>
      </c>
      <c r="B60" s="1" t="s">
        <v>44</v>
      </c>
      <c r="C60" s="2" t="s">
        <v>212</v>
      </c>
      <c r="D60" s="2" t="s">
        <v>213</v>
      </c>
    </row>
    <row r="61" spans="1:4" x14ac:dyDescent="0.25">
      <c r="A61" s="60">
        <v>13</v>
      </c>
      <c r="B61" s="1" t="s">
        <v>45</v>
      </c>
      <c r="C61" s="2" t="s">
        <v>212</v>
      </c>
      <c r="D61" s="2" t="s">
        <v>213</v>
      </c>
    </row>
    <row r="62" spans="1:4" x14ac:dyDescent="0.25">
      <c r="A62" s="60">
        <v>16</v>
      </c>
      <c r="B62" s="1" t="s">
        <v>46</v>
      </c>
      <c r="C62" s="2" t="s">
        <v>212</v>
      </c>
      <c r="D62" s="2" t="s">
        <v>213</v>
      </c>
    </row>
    <row r="63" spans="1:4" x14ac:dyDescent="0.25">
      <c r="A63" s="60">
        <v>18</v>
      </c>
      <c r="B63" s="1" t="s">
        <v>47</v>
      </c>
      <c r="C63" s="2" t="s">
        <v>212</v>
      </c>
      <c r="D63" s="2" t="s">
        <v>213</v>
      </c>
    </row>
    <row r="64" spans="1:4" x14ac:dyDescent="0.25">
      <c r="A64" s="59" t="s">
        <v>14</v>
      </c>
      <c r="B64" s="51"/>
      <c r="C64" s="152" t="s">
        <v>204</v>
      </c>
      <c r="D64" s="57"/>
    </row>
    <row r="65" spans="1:4" x14ac:dyDescent="0.25">
      <c r="A65" s="60">
        <v>3</v>
      </c>
      <c r="B65" s="20" t="s">
        <v>334</v>
      </c>
      <c r="C65" s="2">
        <v>3</v>
      </c>
      <c r="D65" s="2" t="s">
        <v>213</v>
      </c>
    </row>
    <row r="66" spans="1:4" x14ac:dyDescent="0.25">
      <c r="A66" s="60">
        <v>4</v>
      </c>
      <c r="B66" s="20" t="s">
        <v>335</v>
      </c>
      <c r="C66" s="2">
        <v>2</v>
      </c>
      <c r="D66" s="2" t="s">
        <v>213</v>
      </c>
    </row>
    <row r="67" spans="1:4" x14ac:dyDescent="0.25">
      <c r="A67" s="60">
        <v>6</v>
      </c>
      <c r="B67" s="20" t="s">
        <v>336</v>
      </c>
      <c r="C67" s="2">
        <v>1</v>
      </c>
      <c r="D67" s="2" t="s">
        <v>213</v>
      </c>
    </row>
    <row r="68" spans="1:4" x14ac:dyDescent="0.25">
      <c r="A68" s="60">
        <v>9</v>
      </c>
      <c r="B68" s="20" t="s">
        <v>32</v>
      </c>
      <c r="C68" s="2">
        <v>0</v>
      </c>
      <c r="D68" s="2" t="s">
        <v>213</v>
      </c>
    </row>
    <row r="69" spans="1:4" x14ac:dyDescent="0.25">
      <c r="A69" s="60">
        <v>13</v>
      </c>
      <c r="B69" s="20" t="s">
        <v>337</v>
      </c>
      <c r="C69" s="2">
        <v>-1</v>
      </c>
      <c r="D69" s="2" t="s">
        <v>213</v>
      </c>
    </row>
    <row r="70" spans="1:4" x14ac:dyDescent="0.25">
      <c r="A70" s="60">
        <v>16</v>
      </c>
      <c r="B70" s="20" t="s">
        <v>338</v>
      </c>
      <c r="C70" s="2">
        <v>-2</v>
      </c>
      <c r="D70" s="2" t="s">
        <v>213</v>
      </c>
    </row>
    <row r="71" spans="1:4" x14ac:dyDescent="0.25">
      <c r="A71" s="60">
        <v>18</v>
      </c>
      <c r="B71" s="20" t="s">
        <v>339</v>
      </c>
      <c r="C71" s="2">
        <v>-3</v>
      </c>
      <c r="D71" s="2" t="s">
        <v>213</v>
      </c>
    </row>
    <row r="72" spans="1:4" x14ac:dyDescent="0.25">
      <c r="A72" s="59" t="s">
        <v>15</v>
      </c>
      <c r="B72" s="51"/>
      <c r="C72" s="56" t="s">
        <v>94</v>
      </c>
      <c r="D72" s="57"/>
    </row>
    <row r="73" spans="1:4" x14ac:dyDescent="0.25">
      <c r="A73" s="60">
        <v>3</v>
      </c>
      <c r="B73" s="21" t="s">
        <v>51</v>
      </c>
      <c r="C73" s="81">
        <v>-3</v>
      </c>
      <c r="D73" s="2" t="s">
        <v>213</v>
      </c>
    </row>
    <row r="74" spans="1:4" x14ac:dyDescent="0.25">
      <c r="A74" s="60">
        <v>4</v>
      </c>
      <c r="B74" s="21" t="s">
        <v>52</v>
      </c>
      <c r="C74" s="81">
        <v>-2</v>
      </c>
      <c r="D74" s="2" t="s">
        <v>213</v>
      </c>
    </row>
    <row r="75" spans="1:4" x14ac:dyDescent="0.25">
      <c r="A75" s="60">
        <v>6</v>
      </c>
      <c r="B75" s="21" t="s">
        <v>53</v>
      </c>
      <c r="C75" s="81">
        <v>-1</v>
      </c>
      <c r="D75" s="2" t="s">
        <v>213</v>
      </c>
    </row>
    <row r="76" spans="1:4" x14ac:dyDescent="0.25">
      <c r="A76" s="60">
        <v>9</v>
      </c>
      <c r="B76" s="1" t="s">
        <v>48</v>
      </c>
      <c r="C76" s="81">
        <v>0</v>
      </c>
      <c r="D76" s="2" t="s">
        <v>213</v>
      </c>
    </row>
    <row r="77" spans="1:4" x14ac:dyDescent="0.25">
      <c r="A77" s="60">
        <v>13</v>
      </c>
      <c r="B77" s="21" t="s">
        <v>54</v>
      </c>
      <c r="C77" s="81">
        <v>1</v>
      </c>
      <c r="D77" s="2" t="s">
        <v>213</v>
      </c>
    </row>
    <row r="78" spans="1:4" x14ac:dyDescent="0.25">
      <c r="A78" s="60">
        <v>16</v>
      </c>
      <c r="B78" s="21" t="s">
        <v>55</v>
      </c>
      <c r="C78" s="81">
        <v>2</v>
      </c>
      <c r="D78" s="2" t="s">
        <v>213</v>
      </c>
    </row>
    <row r="79" spans="1:4" x14ac:dyDescent="0.25">
      <c r="A79" s="60">
        <v>18</v>
      </c>
      <c r="B79" s="21" t="s">
        <v>56</v>
      </c>
      <c r="C79" s="81">
        <v>3</v>
      </c>
      <c r="D79" s="2" t="s">
        <v>213</v>
      </c>
    </row>
    <row r="80" spans="1:4" x14ac:dyDescent="0.25">
      <c r="A80" s="59" t="s">
        <v>16</v>
      </c>
      <c r="B80" s="51"/>
      <c r="C80" s="57"/>
      <c r="D80" s="57"/>
    </row>
    <row r="81" spans="1:4" x14ac:dyDescent="0.25">
      <c r="A81" s="60">
        <v>3</v>
      </c>
      <c r="B81" s="21" t="s">
        <v>322</v>
      </c>
      <c r="C81" s="2" t="s">
        <v>212</v>
      </c>
      <c r="D81" s="2" t="s">
        <v>213</v>
      </c>
    </row>
    <row r="82" spans="1:4" x14ac:dyDescent="0.25">
      <c r="A82" s="60">
        <v>4</v>
      </c>
      <c r="B82" s="21" t="s">
        <v>323</v>
      </c>
      <c r="C82" s="2" t="s">
        <v>212</v>
      </c>
      <c r="D82" s="2" t="s">
        <v>213</v>
      </c>
    </row>
    <row r="83" spans="1:4" x14ac:dyDescent="0.25">
      <c r="A83" s="60">
        <v>6</v>
      </c>
      <c r="B83" s="21" t="s">
        <v>324</v>
      </c>
      <c r="C83" s="2" t="s">
        <v>212</v>
      </c>
      <c r="D83" s="2" t="s">
        <v>213</v>
      </c>
    </row>
    <row r="84" spans="1:4" x14ac:dyDescent="0.25">
      <c r="A84" s="60">
        <v>9</v>
      </c>
      <c r="B84" s="21" t="s">
        <v>321</v>
      </c>
      <c r="C84" s="2" t="s">
        <v>212</v>
      </c>
      <c r="D84" s="2" t="s">
        <v>213</v>
      </c>
    </row>
    <row r="85" spans="1:4" x14ac:dyDescent="0.25">
      <c r="A85" s="60">
        <v>13</v>
      </c>
      <c r="B85" s="21" t="s">
        <v>325</v>
      </c>
      <c r="C85" s="2" t="s">
        <v>212</v>
      </c>
      <c r="D85" s="2" t="s">
        <v>213</v>
      </c>
    </row>
    <row r="86" spans="1:4" x14ac:dyDescent="0.25">
      <c r="A86" s="60">
        <v>16</v>
      </c>
      <c r="B86" s="21" t="s">
        <v>326</v>
      </c>
      <c r="C86" s="2" t="s">
        <v>212</v>
      </c>
      <c r="D86" s="2" t="s">
        <v>213</v>
      </c>
    </row>
    <row r="87" spans="1:4" x14ac:dyDescent="0.25">
      <c r="A87" s="60">
        <v>18</v>
      </c>
      <c r="B87" s="21" t="s">
        <v>327</v>
      </c>
      <c r="C87" s="2" t="s">
        <v>212</v>
      </c>
      <c r="D87" s="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0"/>
  <sheetViews>
    <sheetView workbookViewId="0">
      <selection activeCell="B4" sqref="B4"/>
    </sheetView>
  </sheetViews>
  <sheetFormatPr defaultRowHeight="15" x14ac:dyDescent="0.25"/>
  <cols>
    <col min="2" max="2" width="29.5703125" customWidth="1"/>
    <col min="3" max="3" width="9.140625" style="15"/>
    <col min="9" max="9" width="18" customWidth="1"/>
    <col min="10" max="10" width="14.7109375" customWidth="1"/>
  </cols>
  <sheetData>
    <row r="1" spans="1:15" ht="14.45" x14ac:dyDescent="0.3">
      <c r="A1" s="128" t="s">
        <v>177</v>
      </c>
      <c r="B1" s="128"/>
      <c r="C1" s="129"/>
      <c r="D1" s="128"/>
      <c r="E1" s="128"/>
      <c r="F1" s="128"/>
      <c r="G1" s="128"/>
      <c r="H1" s="128"/>
    </row>
    <row r="2" spans="1:15" thickBot="1" x14ac:dyDescent="0.35">
      <c r="B2" s="145" t="s">
        <v>175</v>
      </c>
      <c r="C2" s="146" t="s">
        <v>176</v>
      </c>
      <c r="D2" s="132">
        <f ca="1">(RANDBETWEEN(1,6)+RANDBETWEEN(1,6)+RANDBETWEEN(1,6))*10</f>
        <v>120</v>
      </c>
      <c r="E2" t="s">
        <v>184</v>
      </c>
      <c r="G2" s="54">
        <f ca="1">D2-3</f>
        <v>117</v>
      </c>
      <c r="H2" s="9" t="s">
        <v>191</v>
      </c>
      <c r="I2" s="9"/>
      <c r="J2" s="39">
        <f ca="1">G2-D4</f>
        <v>87</v>
      </c>
    </row>
    <row r="3" spans="1:15" s="37" customFormat="1" ht="14.45" x14ac:dyDescent="0.3">
      <c r="B3" s="184" t="s">
        <v>178</v>
      </c>
      <c r="C3" s="183" t="str">
        <f ca="1">CLASS!B4</f>
        <v>Halfling</v>
      </c>
      <c r="D3" s="135"/>
      <c r="E3" s="136"/>
    </row>
    <row r="4" spans="1:15" ht="14.45" x14ac:dyDescent="0.3">
      <c r="A4" s="137">
        <f ca="1">RANDBETWEEN(1,CLASS!H4)</f>
        <v>4</v>
      </c>
      <c r="B4" s="8" t="str">
        <f ca="1">VLOOKUP($A$4,$A$6:$D$13,2, FALSE)</f>
        <v>Leather Armor &amp; Shield</v>
      </c>
      <c r="C4" s="153">
        <f ca="1">VLOOKUP($A$4,$A$6:$D$13,3, FALSE)</f>
        <v>6</v>
      </c>
      <c r="D4" s="153">
        <f ca="1">VLOOKUP($A$4,$A$6:$D$13,4, FALSE)</f>
        <v>30</v>
      </c>
      <c r="E4" s="153">
        <f ca="1">VLOOKUP($A$4,$A$6:$E$13,5, FALSE)</f>
        <v>300</v>
      </c>
      <c r="F4" s="153" t="str">
        <f ca="1">VLOOKUP($A$4,$A$6:$F$13,6, FALSE)</f>
        <v>Yes</v>
      </c>
      <c r="G4" s="153" t="str">
        <f ca="1">VLOOKUP($A$4,$A$6:$G$13,7, FALSE)</f>
        <v>Yes</v>
      </c>
      <c r="I4" s="147" t="s">
        <v>293</v>
      </c>
      <c r="J4" s="147"/>
      <c r="K4" s="147" t="s">
        <v>251</v>
      </c>
      <c r="L4" s="147" t="s">
        <v>299</v>
      </c>
    </row>
    <row r="5" spans="1:15" ht="14.45" x14ac:dyDescent="0.3">
      <c r="A5" s="69"/>
      <c r="B5" s="6" t="s">
        <v>2</v>
      </c>
      <c r="C5" s="56" t="s">
        <v>135</v>
      </c>
      <c r="D5" s="56" t="s">
        <v>137</v>
      </c>
      <c r="E5" s="142" t="s">
        <v>180</v>
      </c>
      <c r="F5" s="178" t="s">
        <v>183</v>
      </c>
      <c r="G5" s="181" t="s">
        <v>275</v>
      </c>
      <c r="I5" s="186" t="s">
        <v>294</v>
      </c>
      <c r="J5" s="21" t="s">
        <v>298</v>
      </c>
      <c r="K5" s="192">
        <f ca="1">D2</f>
        <v>120</v>
      </c>
      <c r="L5" s="1">
        <f ca="1">K5</f>
        <v>120</v>
      </c>
    </row>
    <row r="6" spans="1:15" ht="14.45" x14ac:dyDescent="0.3">
      <c r="A6" s="71">
        <v>1</v>
      </c>
      <c r="B6" s="1" t="s">
        <v>136</v>
      </c>
      <c r="C6" s="2">
        <v>9</v>
      </c>
      <c r="D6" s="2">
        <v>0</v>
      </c>
      <c r="E6" s="23">
        <v>0</v>
      </c>
      <c r="F6" s="1" t="str">
        <f ca="1">IF(AND($A$4&gt;=A6,$G$2-D6&gt;0),"Yes","N/a")</f>
        <v>Yes</v>
      </c>
      <c r="G6" s="1" t="s">
        <v>22</v>
      </c>
      <c r="I6" s="186" t="s">
        <v>2</v>
      </c>
      <c r="J6" s="1" t="str">
        <f ca="1">B4</f>
        <v>Leather Armor &amp; Shield</v>
      </c>
      <c r="K6" s="1">
        <f ca="1">D4</f>
        <v>30</v>
      </c>
      <c r="L6" s="1">
        <f ca="1">L5-K6</f>
        <v>90</v>
      </c>
      <c r="M6" s="1" t="str">
        <f ca="1">IF(L6&gt;=0,J6,"")</f>
        <v>Leather Armor &amp; Shield</v>
      </c>
      <c r="N6" s="1"/>
      <c r="O6" s="1"/>
    </row>
    <row r="7" spans="1:15" ht="14.45" x14ac:dyDescent="0.3">
      <c r="A7" s="71">
        <v>2</v>
      </c>
      <c r="B7" s="1" t="s">
        <v>185</v>
      </c>
      <c r="C7" s="2">
        <v>7</v>
      </c>
      <c r="D7" s="2">
        <v>20</v>
      </c>
      <c r="E7" s="23">
        <v>200</v>
      </c>
      <c r="F7" s="1" t="str">
        <f t="shared" ref="F7:F13" ca="1" si="0">IF(AND($A$4&gt;=A7,$G$2-D7&gt;0),"Yes","N/a")</f>
        <v>Yes</v>
      </c>
      <c r="G7" s="1" t="s">
        <v>22</v>
      </c>
      <c r="I7" s="186" t="s">
        <v>295</v>
      </c>
      <c r="J7" s="1" t="str">
        <f ca="1">D45</f>
        <v>Spear</v>
      </c>
      <c r="K7" s="1">
        <f ca="1">E45</f>
        <v>3</v>
      </c>
      <c r="L7" s="1">
        <f t="shared" ref="L7:L16" ca="1" si="1">L6-K7</f>
        <v>87</v>
      </c>
      <c r="M7" s="1" t="str">
        <f t="shared" ref="M7:M16" ca="1" si="2">IF(L7&gt;=0,J7,"")</f>
        <v>Spear</v>
      </c>
      <c r="N7" s="1"/>
      <c r="O7" s="1"/>
    </row>
    <row r="8" spans="1:15" ht="14.45" x14ac:dyDescent="0.3">
      <c r="A8" s="138">
        <v>3</v>
      </c>
      <c r="B8" s="28" t="s">
        <v>181</v>
      </c>
      <c r="C8" s="134">
        <v>8</v>
      </c>
      <c r="D8" s="134">
        <v>10</v>
      </c>
      <c r="E8" s="143">
        <v>100</v>
      </c>
      <c r="F8" s="1" t="str">
        <f t="shared" ca="1" si="0"/>
        <v>Yes</v>
      </c>
      <c r="G8" s="1" t="s">
        <v>21</v>
      </c>
      <c r="I8" s="186" t="s">
        <v>296</v>
      </c>
      <c r="J8" s="1" t="str">
        <f ca="1">D46</f>
        <v>Normal dagger</v>
      </c>
      <c r="K8" s="1">
        <f ca="1">E46</f>
        <v>3</v>
      </c>
      <c r="L8" s="1">
        <f t="shared" ca="1" si="1"/>
        <v>84</v>
      </c>
      <c r="M8" s="1" t="str">
        <f t="shared" ca="1" si="2"/>
        <v>Normal dagger</v>
      </c>
      <c r="N8" s="1"/>
      <c r="O8" s="1"/>
    </row>
    <row r="9" spans="1:15" ht="14.45" x14ac:dyDescent="0.3">
      <c r="A9" s="138">
        <v>4</v>
      </c>
      <c r="B9" s="28" t="s">
        <v>186</v>
      </c>
      <c r="C9" s="134">
        <v>6</v>
      </c>
      <c r="D9" s="134">
        <v>30</v>
      </c>
      <c r="E9" s="143">
        <v>300</v>
      </c>
      <c r="F9" s="1" t="str">
        <f t="shared" ca="1" si="0"/>
        <v>Yes</v>
      </c>
      <c r="G9" s="1" t="s">
        <v>21</v>
      </c>
      <c r="I9" s="186" t="s">
        <v>297</v>
      </c>
      <c r="J9" s="1" t="str">
        <f ca="1">D65</f>
        <v>Holy Water</v>
      </c>
      <c r="K9" s="1">
        <f ca="1">E65</f>
        <v>25</v>
      </c>
      <c r="L9" s="1">
        <f t="shared" ca="1" si="1"/>
        <v>59</v>
      </c>
      <c r="M9" s="1" t="str">
        <f t="shared" ca="1" si="2"/>
        <v>Holy Water</v>
      </c>
      <c r="N9" s="1"/>
      <c r="O9" s="1"/>
    </row>
    <row r="10" spans="1:15" ht="14.45" x14ac:dyDescent="0.3">
      <c r="A10" s="138">
        <v>5</v>
      </c>
      <c r="B10" s="28" t="s">
        <v>187</v>
      </c>
      <c r="C10" s="134">
        <v>5</v>
      </c>
      <c r="D10" s="134">
        <v>40</v>
      </c>
      <c r="E10" s="143">
        <v>400</v>
      </c>
      <c r="F10" s="1" t="str">
        <f t="shared" ca="1" si="0"/>
        <v>N/a</v>
      </c>
      <c r="G10" s="1" t="s">
        <v>22</v>
      </c>
      <c r="I10" s="186" t="s">
        <v>177</v>
      </c>
      <c r="J10" s="1" t="str">
        <f ca="1">F21</f>
        <v xml:space="preserve">Sack, Small </v>
      </c>
      <c r="K10" s="1">
        <f ca="1">G21</f>
        <v>1</v>
      </c>
      <c r="L10" s="1">
        <f t="shared" ca="1" si="1"/>
        <v>58</v>
      </c>
      <c r="M10" s="1" t="str">
        <f t="shared" ca="1" si="2"/>
        <v xml:space="preserve">Sack, Small </v>
      </c>
      <c r="N10" s="1"/>
      <c r="O10" s="1"/>
    </row>
    <row r="11" spans="1:15" ht="14.45" x14ac:dyDescent="0.3">
      <c r="A11" s="138">
        <v>6</v>
      </c>
      <c r="B11" s="28" t="s">
        <v>188</v>
      </c>
      <c r="C11" s="134">
        <v>4</v>
      </c>
      <c r="D11" s="134">
        <v>50</v>
      </c>
      <c r="E11" s="143">
        <v>500</v>
      </c>
      <c r="F11" s="1" t="str">
        <f t="shared" ca="1" si="0"/>
        <v>N/a</v>
      </c>
      <c r="G11" s="1" t="s">
        <v>21</v>
      </c>
      <c r="I11" s="186" t="s">
        <v>177</v>
      </c>
      <c r="J11" s="1" t="str">
        <f t="shared" ref="J11:J16" ca="1" si="3">F22</f>
        <v xml:space="preserve">Water/Wine Skin </v>
      </c>
      <c r="K11" s="1">
        <f t="shared" ref="K11:K16" ca="1" si="4">G22</f>
        <v>1</v>
      </c>
      <c r="L11" s="1">
        <f t="shared" ca="1" si="1"/>
        <v>57</v>
      </c>
      <c r="M11" s="1" t="str">
        <f t="shared" ca="1" si="2"/>
        <v xml:space="preserve">Water/Wine Skin </v>
      </c>
      <c r="N11" s="1"/>
      <c r="O11" s="1"/>
    </row>
    <row r="12" spans="1:15" ht="14.45" x14ac:dyDescent="0.3">
      <c r="A12" s="138">
        <v>7</v>
      </c>
      <c r="B12" s="28" t="s">
        <v>189</v>
      </c>
      <c r="C12" s="134">
        <v>3</v>
      </c>
      <c r="D12" s="134">
        <v>60</v>
      </c>
      <c r="E12" s="143">
        <v>500</v>
      </c>
      <c r="F12" s="1" t="str">
        <f t="shared" ca="1" si="0"/>
        <v>N/a</v>
      </c>
      <c r="G12" s="1" t="s">
        <v>22</v>
      </c>
      <c r="I12" s="186" t="s">
        <v>177</v>
      </c>
      <c r="J12" s="1" t="str">
        <f t="shared" ca="1" si="3"/>
        <v xml:space="preserve">Torches (6) </v>
      </c>
      <c r="K12" s="1">
        <f t="shared" ca="1" si="4"/>
        <v>1</v>
      </c>
      <c r="L12" s="1">
        <f t="shared" ca="1" si="1"/>
        <v>56</v>
      </c>
      <c r="M12" s="1" t="str">
        <f t="shared" ca="1" si="2"/>
        <v xml:space="preserve">Torches (6) </v>
      </c>
      <c r="N12" s="1"/>
      <c r="O12" s="1"/>
    </row>
    <row r="13" spans="1:15" thickBot="1" x14ac:dyDescent="0.35">
      <c r="A13" s="139">
        <v>8</v>
      </c>
      <c r="B13" s="140" t="s">
        <v>190</v>
      </c>
      <c r="C13" s="141">
        <v>2</v>
      </c>
      <c r="D13" s="141">
        <v>70</v>
      </c>
      <c r="E13" s="144">
        <v>600</v>
      </c>
      <c r="F13" s="1" t="str">
        <f t="shared" ca="1" si="0"/>
        <v>N/a</v>
      </c>
      <c r="G13" s="1" t="s">
        <v>21</v>
      </c>
      <c r="I13" s="186" t="s">
        <v>177</v>
      </c>
      <c r="J13" s="1" t="str">
        <f t="shared" ca="1" si="3"/>
        <v xml:space="preserve">Holy Water (1 vial) </v>
      </c>
      <c r="K13" s="1">
        <f t="shared" ca="1" si="4"/>
        <v>25</v>
      </c>
      <c r="L13" s="1">
        <f t="shared" ca="1" si="1"/>
        <v>31</v>
      </c>
      <c r="M13" s="1" t="str">
        <f t="shared" ca="1" si="2"/>
        <v xml:space="preserve">Holy Water (1 vial) </v>
      </c>
      <c r="N13" s="1"/>
      <c r="O13" s="1"/>
    </row>
    <row r="14" spans="1:15" ht="14.45" x14ac:dyDescent="0.3">
      <c r="I14" s="186" t="s">
        <v>177</v>
      </c>
      <c r="J14" s="1" t="str">
        <f t="shared" ca="1" si="3"/>
        <v xml:space="preserve">Holy Symbol </v>
      </c>
      <c r="K14" s="1">
        <f t="shared" ca="1" si="4"/>
        <v>25</v>
      </c>
      <c r="L14" s="1">
        <f t="shared" ca="1" si="1"/>
        <v>6</v>
      </c>
      <c r="M14" s="1" t="str">
        <f t="shared" ca="1" si="2"/>
        <v xml:space="preserve">Holy Symbol </v>
      </c>
      <c r="N14" s="1"/>
      <c r="O14" s="1"/>
    </row>
    <row r="15" spans="1:15" ht="14.45" x14ac:dyDescent="0.3">
      <c r="A15" s="180" t="s">
        <v>205</v>
      </c>
      <c r="B15" s="172"/>
      <c r="E15" s="127" t="s">
        <v>302</v>
      </c>
      <c r="F15" s="127"/>
      <c r="G15" s="127"/>
      <c r="I15" s="186" t="s">
        <v>177</v>
      </c>
      <c r="J15" s="1" t="str">
        <f t="shared" ca="1" si="3"/>
        <v xml:space="preserve">Wine (1 quart) </v>
      </c>
      <c r="K15" s="1">
        <f t="shared" ca="1" si="4"/>
        <v>1</v>
      </c>
      <c r="L15" s="1">
        <f t="shared" ca="1" si="1"/>
        <v>5</v>
      </c>
      <c r="M15" s="1" t="str">
        <f t="shared" ca="1" si="2"/>
        <v xml:space="preserve">Wine (1 quart) </v>
      </c>
      <c r="N15" s="1"/>
      <c r="O15" s="1"/>
    </row>
    <row r="16" spans="1:15" ht="14.45" x14ac:dyDescent="0.3">
      <c r="A16" s="180" t="s">
        <v>2</v>
      </c>
      <c r="B16" s="34">
        <f ca="1">C4</f>
        <v>6</v>
      </c>
      <c r="E16" s="127" t="s">
        <v>303</v>
      </c>
      <c r="F16" s="127"/>
      <c r="G16" s="127"/>
      <c r="I16" s="186" t="s">
        <v>177</v>
      </c>
      <c r="J16" s="1" t="str">
        <f t="shared" ca="1" si="3"/>
        <v xml:space="preserve">Iron Rations (1 wk) </v>
      </c>
      <c r="K16" s="1">
        <f t="shared" ca="1" si="4"/>
        <v>15</v>
      </c>
      <c r="L16" s="1">
        <f t="shared" ca="1" si="1"/>
        <v>-10</v>
      </c>
      <c r="M16" s="1" t="str">
        <f t="shared" ca="1" si="2"/>
        <v/>
      </c>
      <c r="N16" s="1"/>
      <c r="O16" s="1"/>
    </row>
    <row r="17" spans="1:10" thickBot="1" x14ac:dyDescent="0.35">
      <c r="A17" s="180" t="s">
        <v>206</v>
      </c>
      <c r="B17" s="34">
        <f ca="1">ABILITIES!D18</f>
        <v>-1</v>
      </c>
    </row>
    <row r="18" spans="1:10" thickBot="1" x14ac:dyDescent="0.35">
      <c r="A18" s="180" t="s">
        <v>207</v>
      </c>
      <c r="B18" s="34">
        <f ca="1">SUM(B16:B17)</f>
        <v>5</v>
      </c>
      <c r="I18" s="198" t="s">
        <v>313</v>
      </c>
      <c r="J18" s="199">
        <f t="array" aca="1" ref="J18" ca="1">MIN(IF(L5:L16&gt;0,L5:L16))</f>
        <v>5</v>
      </c>
    </row>
    <row r="19" spans="1:10" ht="14.45" x14ac:dyDescent="0.3">
      <c r="F19" t="s">
        <v>301</v>
      </c>
    </row>
    <row r="20" spans="1:10" ht="14.45" x14ac:dyDescent="0.3">
      <c r="A20" s="176"/>
      <c r="B20" s="176" t="s">
        <v>252</v>
      </c>
      <c r="C20" s="176" t="s">
        <v>77</v>
      </c>
      <c r="D20" s="176" t="s">
        <v>250</v>
      </c>
      <c r="E20" s="176" t="s">
        <v>251</v>
      </c>
      <c r="F20" s="187" t="s">
        <v>300</v>
      </c>
    </row>
    <row r="21" spans="1:10" ht="14.45" x14ac:dyDescent="0.3">
      <c r="A21" s="177">
        <v>1</v>
      </c>
      <c r="B21" s="188">
        <f ca="1">RAND()+2</f>
        <v>2.4072334784736023</v>
      </c>
      <c r="C21" s="60">
        <f t="shared" ref="C21:C40" ca="1" si="5">RANK(B21,$B$21:$B$40)</f>
        <v>2</v>
      </c>
      <c r="D21" s="189" t="s">
        <v>230</v>
      </c>
      <c r="E21" s="174">
        <v>5</v>
      </c>
      <c r="F21" s="8" t="str">
        <f ca="1">VLOOKUP(1,$C$21:$E$23,2,FALSE)</f>
        <v xml:space="preserve">Sack, Small </v>
      </c>
      <c r="G21" s="8">
        <f ca="1">VLOOKUP(1,$C$21:$E$23,3,FALSE)</f>
        <v>1</v>
      </c>
    </row>
    <row r="22" spans="1:10" ht="14.45" x14ac:dyDescent="0.3">
      <c r="A22" s="60">
        <v>2</v>
      </c>
      <c r="B22" s="188">
        <f ca="1">RAND()+2</f>
        <v>2.6324936770845042</v>
      </c>
      <c r="C22" s="60">
        <f t="shared" ca="1" si="5"/>
        <v>1</v>
      </c>
      <c r="D22" s="189" t="s">
        <v>241</v>
      </c>
      <c r="E22" s="174">
        <v>1</v>
      </c>
      <c r="F22" s="8" t="str">
        <f ca="1">VLOOKUP(A24,$C$24:$E$40,2,FALSE)</f>
        <v xml:space="preserve">Water/Wine Skin </v>
      </c>
      <c r="G22" s="8">
        <f ca="1">VLOOKUP(A24,$C$24:$E$40,3,FALSE)</f>
        <v>1</v>
      </c>
    </row>
    <row r="23" spans="1:10" ht="14.45" x14ac:dyDescent="0.3">
      <c r="A23" s="60">
        <v>3</v>
      </c>
      <c r="B23" s="188">
        <f ca="1">RAND()+2</f>
        <v>2.1412196535754484</v>
      </c>
      <c r="C23" s="60">
        <f t="shared" ca="1" si="5"/>
        <v>3</v>
      </c>
      <c r="D23" s="189" t="s">
        <v>242</v>
      </c>
      <c r="E23" s="174">
        <v>2</v>
      </c>
      <c r="F23" s="8" t="str">
        <f t="shared" ref="F23:F27" ca="1" si="6">VLOOKUP(A25,$C$24:$E$40,2,FALSE)</f>
        <v xml:space="preserve">Torches (6) </v>
      </c>
      <c r="G23" s="8">
        <f t="shared" ref="G23:G27" ca="1" si="7">VLOOKUP(A25,$C$24:$E$40,3,FALSE)</f>
        <v>1</v>
      </c>
    </row>
    <row r="24" spans="1:10" ht="14.45" x14ac:dyDescent="0.3">
      <c r="A24" s="190">
        <v>4</v>
      </c>
      <c r="B24" s="60">
        <f t="shared" ref="B24:B40" ca="1" si="8">RAND()</f>
        <v>0.33574171265596997</v>
      </c>
      <c r="C24" s="60">
        <f t="shared" ca="1" si="5"/>
        <v>14</v>
      </c>
      <c r="D24" s="175" t="s">
        <v>231</v>
      </c>
      <c r="E24" s="174">
        <v>2</v>
      </c>
      <c r="F24" s="8" t="str">
        <f t="shared" ca="1" si="6"/>
        <v xml:space="preserve">Holy Water (1 vial) </v>
      </c>
      <c r="G24" s="8">
        <f t="shared" ca="1" si="7"/>
        <v>25</v>
      </c>
    </row>
    <row r="25" spans="1:10" ht="14.45" x14ac:dyDescent="0.3">
      <c r="A25" s="60">
        <v>5</v>
      </c>
      <c r="B25" s="60">
        <f t="shared" ca="1" si="8"/>
        <v>0.20137249839064064</v>
      </c>
      <c r="C25" s="60">
        <f t="shared" ca="1" si="5"/>
        <v>17</v>
      </c>
      <c r="D25" s="175" t="s">
        <v>232</v>
      </c>
      <c r="E25" s="174">
        <v>2</v>
      </c>
      <c r="F25" s="8" t="str">
        <f t="shared" ca="1" si="6"/>
        <v xml:space="preserve">Holy Symbol </v>
      </c>
      <c r="G25" s="8">
        <f t="shared" ca="1" si="7"/>
        <v>25</v>
      </c>
    </row>
    <row r="26" spans="1:10" ht="14.45" x14ac:dyDescent="0.3">
      <c r="A26" s="60">
        <v>6</v>
      </c>
      <c r="B26" s="190">
        <f ca="1">RAND()+IF(B43="cleric",1,0)</f>
        <v>0.85514620795511298</v>
      </c>
      <c r="C26" s="190">
        <f t="shared" ca="1" si="5"/>
        <v>7</v>
      </c>
      <c r="D26" s="191" t="s">
        <v>233</v>
      </c>
      <c r="E26" s="174">
        <v>25</v>
      </c>
      <c r="F26" s="8" t="str">
        <f t="shared" ca="1" si="6"/>
        <v xml:space="preserve">Wine (1 quart) </v>
      </c>
      <c r="G26" s="8">
        <f t="shared" ca="1" si="7"/>
        <v>1</v>
      </c>
    </row>
    <row r="27" spans="1:10" ht="14.45" x14ac:dyDescent="0.3">
      <c r="A27" s="60">
        <v>7</v>
      </c>
      <c r="B27" s="60">
        <f t="shared" ca="1" si="8"/>
        <v>0.90591573340595166</v>
      </c>
      <c r="C27" s="60">
        <f t="shared" ca="1" si="5"/>
        <v>6</v>
      </c>
      <c r="D27" s="175" t="s">
        <v>234</v>
      </c>
      <c r="E27" s="174">
        <v>25</v>
      </c>
      <c r="F27" s="8" t="str">
        <f t="shared" ca="1" si="6"/>
        <v xml:space="preserve">Iron Rations (1 wk) </v>
      </c>
      <c r="G27" s="8">
        <f t="shared" ca="1" si="7"/>
        <v>15</v>
      </c>
    </row>
    <row r="28" spans="1:10" ht="14.45" x14ac:dyDescent="0.3">
      <c r="A28" s="60">
        <v>8</v>
      </c>
      <c r="B28" s="60">
        <f t="shared" ca="1" si="8"/>
        <v>0.32532750607054728</v>
      </c>
      <c r="C28" s="60">
        <f t="shared" ca="1" si="5"/>
        <v>15</v>
      </c>
      <c r="D28" s="175" t="s">
        <v>235</v>
      </c>
      <c r="E28" s="174">
        <v>1</v>
      </c>
      <c r="F28" s="1"/>
      <c r="G28" s="1"/>
    </row>
    <row r="29" spans="1:10" ht="14.45" x14ac:dyDescent="0.3">
      <c r="A29" s="60">
        <v>9</v>
      </c>
      <c r="B29" s="60">
        <f t="shared" ca="1" si="8"/>
        <v>0.75556275006336526</v>
      </c>
      <c r="C29" s="60">
        <f t="shared" ca="1" si="5"/>
        <v>10</v>
      </c>
      <c r="D29" s="175" t="s">
        <v>236</v>
      </c>
      <c r="E29" s="174">
        <v>10</v>
      </c>
    </row>
    <row r="30" spans="1:10" ht="14.45" x14ac:dyDescent="0.3">
      <c r="A30" s="60">
        <v>10</v>
      </c>
      <c r="B30" s="60">
        <f t="shared" ca="1" si="8"/>
        <v>3.8330132962093644E-2</v>
      </c>
      <c r="C30" s="60">
        <f t="shared" ca="1" si="5"/>
        <v>19</v>
      </c>
      <c r="D30" s="175" t="s">
        <v>237</v>
      </c>
      <c r="E30" s="174">
        <v>5</v>
      </c>
    </row>
    <row r="31" spans="1:10" ht="14.45" x14ac:dyDescent="0.3">
      <c r="A31" s="60">
        <v>11</v>
      </c>
      <c r="B31" s="60">
        <f t="shared" ca="1" si="8"/>
        <v>0.76783505704835708</v>
      </c>
      <c r="C31" s="60">
        <f t="shared" ca="1" si="5"/>
        <v>9</v>
      </c>
      <c r="D31" s="175" t="s">
        <v>238</v>
      </c>
      <c r="E31" s="174">
        <v>15</v>
      </c>
    </row>
    <row r="32" spans="1:10" ht="14.45" x14ac:dyDescent="0.3">
      <c r="A32" s="60">
        <v>12</v>
      </c>
      <c r="B32" s="60">
        <f t="shared" ca="1" si="8"/>
        <v>0.14932383199687638</v>
      </c>
      <c r="C32" s="60">
        <f t="shared" ca="1" si="5"/>
        <v>18</v>
      </c>
      <c r="D32" s="175" t="s">
        <v>239</v>
      </c>
      <c r="E32" s="174">
        <v>5</v>
      </c>
    </row>
    <row r="33" spans="1:10" ht="14.45" x14ac:dyDescent="0.3">
      <c r="A33" s="60">
        <v>13</v>
      </c>
      <c r="B33" s="60">
        <f t="shared" ca="1" si="8"/>
        <v>0.71530573736579217</v>
      </c>
      <c r="C33" s="60">
        <f t="shared" ca="1" si="5"/>
        <v>11</v>
      </c>
      <c r="D33" s="175" t="s">
        <v>240</v>
      </c>
      <c r="E33" s="174">
        <v>1</v>
      </c>
    </row>
    <row r="34" spans="1:10" ht="14.45" x14ac:dyDescent="0.3">
      <c r="A34" s="60">
        <v>14</v>
      </c>
      <c r="B34" s="190">
        <f ca="1">RAND()+IF(B43="thief",1,-1)</f>
        <v>-0.73289929939408704</v>
      </c>
      <c r="C34" s="190">
        <f t="shared" ca="1" si="5"/>
        <v>20</v>
      </c>
      <c r="D34" s="191" t="s">
        <v>243</v>
      </c>
      <c r="E34" s="174">
        <v>25</v>
      </c>
    </row>
    <row r="35" spans="1:10" ht="14.45" x14ac:dyDescent="0.3">
      <c r="A35" s="60">
        <v>15</v>
      </c>
      <c r="B35" s="60">
        <f t="shared" ca="1" si="8"/>
        <v>0.21544734912824504</v>
      </c>
      <c r="C35" s="60">
        <f t="shared" ca="1" si="5"/>
        <v>16</v>
      </c>
      <c r="D35" s="175" t="s">
        <v>244</v>
      </c>
      <c r="E35" s="174">
        <v>3</v>
      </c>
    </row>
    <row r="36" spans="1:10" ht="14.45" x14ac:dyDescent="0.3">
      <c r="A36" s="60">
        <v>16</v>
      </c>
      <c r="B36" s="60">
        <f t="shared" ca="1" si="8"/>
        <v>0.9068886079405204</v>
      </c>
      <c r="C36" s="60">
        <f t="shared" ca="1" si="5"/>
        <v>5</v>
      </c>
      <c r="D36" s="175" t="s">
        <v>245</v>
      </c>
      <c r="E36" s="174">
        <v>1</v>
      </c>
    </row>
    <row r="37" spans="1:10" ht="14.45" x14ac:dyDescent="0.3">
      <c r="A37" s="60">
        <v>17</v>
      </c>
      <c r="B37" s="60">
        <f t="shared" ca="1" si="8"/>
        <v>0.91570362558360974</v>
      </c>
      <c r="C37" s="60">
        <f t="shared" ca="1" si="5"/>
        <v>4</v>
      </c>
      <c r="D37" s="175" t="s">
        <v>246</v>
      </c>
      <c r="E37" s="174">
        <v>1</v>
      </c>
    </row>
    <row r="38" spans="1:10" ht="14.45" x14ac:dyDescent="0.3">
      <c r="A38" s="60">
        <v>18</v>
      </c>
      <c r="B38" s="60">
        <f t="shared" ca="1" si="8"/>
        <v>0.77793573659431858</v>
      </c>
      <c r="C38" s="60">
        <f t="shared" ca="1" si="5"/>
        <v>8</v>
      </c>
      <c r="D38" s="175" t="s">
        <v>247</v>
      </c>
      <c r="E38" s="174">
        <v>1</v>
      </c>
    </row>
    <row r="39" spans="1:10" ht="14.45" x14ac:dyDescent="0.3">
      <c r="A39" s="60">
        <v>19</v>
      </c>
      <c r="B39" s="60">
        <f t="shared" ca="1" si="8"/>
        <v>0.34322964823467261</v>
      </c>
      <c r="C39" s="60">
        <f t="shared" ca="1" si="5"/>
        <v>13</v>
      </c>
      <c r="D39" s="175" t="s">
        <v>248</v>
      </c>
      <c r="E39" s="174">
        <v>10</v>
      </c>
    </row>
    <row r="40" spans="1:10" ht="14.45" x14ac:dyDescent="0.3">
      <c r="A40" s="60">
        <v>20</v>
      </c>
      <c r="B40" s="60">
        <f t="shared" ca="1" si="8"/>
        <v>0.47571048145916817</v>
      </c>
      <c r="C40" s="60">
        <f t="shared" ca="1" si="5"/>
        <v>12</v>
      </c>
      <c r="D40" s="175" t="s">
        <v>249</v>
      </c>
      <c r="E40" s="174">
        <v>1</v>
      </c>
    </row>
    <row r="41" spans="1:10" ht="14.45" x14ac:dyDescent="0.3">
      <c r="C41"/>
    </row>
    <row r="42" spans="1:10" ht="14.45" x14ac:dyDescent="0.3">
      <c r="A42" s="200" t="s">
        <v>276</v>
      </c>
      <c r="B42" s="201" t="str">
        <f ca="1">G4</f>
        <v>Yes</v>
      </c>
      <c r="C42" s="202" t="s">
        <v>279</v>
      </c>
      <c r="D42" s="202"/>
      <c r="E42" s="201">
        <f ca="1">CLASS!K4</f>
        <v>12</v>
      </c>
      <c r="F42" s="202"/>
      <c r="G42" s="202"/>
    </row>
    <row r="43" spans="1:10" x14ac:dyDescent="0.25">
      <c r="A43" s="203" t="s">
        <v>277</v>
      </c>
      <c r="B43" s="201" t="str">
        <f ca="1">CLASS!B4</f>
        <v>Halfling</v>
      </c>
      <c r="C43" s="204" t="s">
        <v>283</v>
      </c>
      <c r="D43" s="202"/>
      <c r="E43" s="201">
        <f ca="1">IF(B42="no",0,-3)</f>
        <v>-3</v>
      </c>
      <c r="F43" s="205"/>
      <c r="G43" s="205"/>
    </row>
    <row r="44" spans="1:10" s="37" customFormat="1" x14ac:dyDescent="0.25">
      <c r="A44" s="206"/>
      <c r="B44" s="207"/>
      <c r="C44" s="208" t="s">
        <v>282</v>
      </c>
      <c r="D44" s="209"/>
      <c r="E44" s="210">
        <f ca="1">IF(B43&lt;&gt;"Cleric",E42+E43,4)</f>
        <v>9</v>
      </c>
      <c r="F44" s="211" t="s">
        <v>285</v>
      </c>
      <c r="G44" s="211"/>
      <c r="H44" s="24"/>
      <c r="I44" s="24"/>
      <c r="J44" s="24"/>
    </row>
    <row r="45" spans="1:10" x14ac:dyDescent="0.25">
      <c r="A45" s="205"/>
      <c r="B45" s="212" t="s">
        <v>280</v>
      </c>
      <c r="C45" s="213">
        <f ca="1">RANDBETWEEN(1,E44)</f>
        <v>6</v>
      </c>
      <c r="D45" s="214" t="str">
        <f ca="1">IF(B43="Magic-user",D57,VLOOKUP(C45,$C$49:$G$61,2,FALSE))</f>
        <v>Spear</v>
      </c>
      <c r="E45" s="201">
        <f ca="1">VLOOKUP($D$45,$D$49:$G$61,B47,FALSE)</f>
        <v>3</v>
      </c>
      <c r="F45" s="201" t="str">
        <f t="shared" ref="F45:G45" ca="1" si="9">VLOOKUP($D$45,$D$49:$G$61,C47,FALSE)</f>
        <v>d6</v>
      </c>
      <c r="G45" s="201" t="str">
        <f t="shared" ca="1" si="9"/>
        <v>Yes</v>
      </c>
    </row>
    <row r="46" spans="1:10" x14ac:dyDescent="0.25">
      <c r="A46" s="205"/>
      <c r="B46" s="212" t="s">
        <v>281</v>
      </c>
      <c r="C46" s="213">
        <f ca="1">RANDBETWEEN(1,E44)</f>
        <v>9</v>
      </c>
      <c r="D46" s="214" t="str">
        <f ca="1">IF(OR(B43="Magic-user",B43="Cleric"),D62,VLOOKUP(C46,$C$49:$G$61,2,FALSE))</f>
        <v>Normal dagger</v>
      </c>
      <c r="E46" s="201">
        <f ca="1">VLOOKUP($D$46,$D$49:$G$62,B47,FALSE)</f>
        <v>3</v>
      </c>
      <c r="F46" s="201" t="str">
        <f ca="1">VLOOKUP($D$46,$D$49:$G$62,C47,FALSE)</f>
        <v>d4</v>
      </c>
      <c r="G46" s="201" t="str">
        <f ca="1">VLOOKUP($D$46,$D$49:$G$62,D47,FALSE)</f>
        <v>Yes</v>
      </c>
    </row>
    <row r="47" spans="1:10" x14ac:dyDescent="0.25">
      <c r="A47" s="215" t="s">
        <v>284</v>
      </c>
      <c r="B47" s="215">
        <v>2</v>
      </c>
      <c r="C47" s="215">
        <v>3</v>
      </c>
      <c r="D47" s="215">
        <v>4</v>
      </c>
      <c r="E47" s="215">
        <v>5</v>
      </c>
      <c r="F47" s="215">
        <v>6</v>
      </c>
      <c r="G47" s="215">
        <v>7</v>
      </c>
    </row>
    <row r="48" spans="1:10" x14ac:dyDescent="0.25">
      <c r="A48" s="216" t="s">
        <v>270</v>
      </c>
      <c r="B48" s="216" t="s">
        <v>84</v>
      </c>
      <c r="C48" s="216" t="s">
        <v>77</v>
      </c>
      <c r="D48" s="217" t="s">
        <v>1</v>
      </c>
      <c r="E48" s="218" t="s">
        <v>251</v>
      </c>
      <c r="F48" s="219" t="s">
        <v>193</v>
      </c>
      <c r="G48" s="216" t="s">
        <v>271</v>
      </c>
    </row>
    <row r="49" spans="1:7" x14ac:dyDescent="0.25">
      <c r="A49" s="202">
        <v>1</v>
      </c>
      <c r="B49" s="204">
        <f ca="1">IF($B$43="cleric",1,0)+RAND()</f>
        <v>7.3175102790056235E-2</v>
      </c>
      <c r="C49" s="220">
        <f ca="1">RANK(B49,$B$49:$B$61)</f>
        <v>12</v>
      </c>
      <c r="D49" s="221" t="s">
        <v>314</v>
      </c>
      <c r="E49" s="220">
        <v>5</v>
      </c>
      <c r="F49" s="202" t="s">
        <v>195</v>
      </c>
      <c r="G49" s="202" t="s">
        <v>22</v>
      </c>
    </row>
    <row r="50" spans="1:7" x14ac:dyDescent="0.25">
      <c r="A50" s="202">
        <v>2</v>
      </c>
      <c r="B50" s="204">
        <f t="shared" ref="B50:B52" ca="1" si="10">IF($B$43="cleric",1,0)+RAND()</f>
        <v>6.3547705920530273E-2</v>
      </c>
      <c r="C50" s="220">
        <f t="shared" ref="C50:C61" ca="1" si="11">RANK(B50,$B$49:$B$61)</f>
        <v>13</v>
      </c>
      <c r="D50" s="221" t="s">
        <v>315</v>
      </c>
      <c r="E50" s="220">
        <v>3</v>
      </c>
      <c r="F50" s="202" t="s">
        <v>194</v>
      </c>
      <c r="G50" s="202" t="s">
        <v>22</v>
      </c>
    </row>
    <row r="51" spans="1:7" x14ac:dyDescent="0.25">
      <c r="A51" s="202">
        <v>3</v>
      </c>
      <c r="B51" s="204">
        <f t="shared" ca="1" si="10"/>
        <v>0.23771392018473381</v>
      </c>
      <c r="C51" s="220">
        <f t="shared" ca="1" si="11"/>
        <v>10</v>
      </c>
      <c r="D51" s="221" t="s">
        <v>316</v>
      </c>
      <c r="E51" s="220">
        <v>3</v>
      </c>
      <c r="F51" s="202" t="s">
        <v>195</v>
      </c>
      <c r="G51" s="202" t="s">
        <v>22</v>
      </c>
    </row>
    <row r="52" spans="1:7" x14ac:dyDescent="0.25">
      <c r="A52" s="202">
        <v>4</v>
      </c>
      <c r="B52" s="204">
        <f t="shared" ca="1" si="10"/>
        <v>0.22277380580055905</v>
      </c>
      <c r="C52" s="220">
        <f t="shared" ca="1" si="11"/>
        <v>11</v>
      </c>
      <c r="D52" s="221" t="s">
        <v>265</v>
      </c>
      <c r="E52" s="220">
        <v>1</v>
      </c>
      <c r="F52" s="202" t="s">
        <v>194</v>
      </c>
      <c r="G52" s="202" t="s">
        <v>22</v>
      </c>
    </row>
    <row r="53" spans="1:7" x14ac:dyDescent="0.25">
      <c r="A53" s="202">
        <v>5</v>
      </c>
      <c r="B53" s="204">
        <f t="shared" ref="B53:B70" ca="1" si="12">RAND()</f>
        <v>0.50666708869917343</v>
      </c>
      <c r="C53" s="220">
        <f t="shared" ca="1" si="11"/>
        <v>6</v>
      </c>
      <c r="D53" s="221" t="s">
        <v>264</v>
      </c>
      <c r="E53" s="220">
        <v>3</v>
      </c>
      <c r="F53" s="202" t="s">
        <v>195</v>
      </c>
      <c r="G53" s="202" t="s">
        <v>21</v>
      </c>
    </row>
    <row r="54" spans="1:7" x14ac:dyDescent="0.25">
      <c r="A54" s="202">
        <v>6</v>
      </c>
      <c r="B54" s="204">
        <f t="shared" ca="1" si="12"/>
        <v>0.91929504073088886</v>
      </c>
      <c r="C54" s="220">
        <f t="shared" ca="1" si="11"/>
        <v>2</v>
      </c>
      <c r="D54" s="221" t="s">
        <v>253</v>
      </c>
      <c r="E54" s="222">
        <v>4</v>
      </c>
      <c r="F54" s="202" t="s">
        <v>195</v>
      </c>
      <c r="G54" s="202" t="s">
        <v>21</v>
      </c>
    </row>
    <row r="55" spans="1:7" x14ac:dyDescent="0.25">
      <c r="A55" s="202">
        <v>7</v>
      </c>
      <c r="B55" s="204">
        <f t="shared" ca="1" si="12"/>
        <v>0.46361981374704853</v>
      </c>
      <c r="C55" s="220">
        <f t="shared" ca="1" si="11"/>
        <v>7</v>
      </c>
      <c r="D55" s="221" t="s">
        <v>260</v>
      </c>
      <c r="E55" s="220">
        <v>7</v>
      </c>
      <c r="F55" s="202" t="s">
        <v>195</v>
      </c>
      <c r="G55" s="202" t="s">
        <v>22</v>
      </c>
    </row>
    <row r="56" spans="1:7" x14ac:dyDescent="0.25">
      <c r="A56" s="202">
        <v>8</v>
      </c>
      <c r="B56" s="204">
        <f t="shared" ca="1" si="12"/>
        <v>0.94069752126113459</v>
      </c>
      <c r="C56" s="220">
        <f t="shared" ca="1" si="11"/>
        <v>1</v>
      </c>
      <c r="D56" s="221" t="s">
        <v>261</v>
      </c>
      <c r="E56" s="220">
        <v>10</v>
      </c>
      <c r="F56" s="202" t="s">
        <v>266</v>
      </c>
      <c r="G56" s="202" t="s">
        <v>22</v>
      </c>
    </row>
    <row r="57" spans="1:7" x14ac:dyDescent="0.25">
      <c r="A57" s="202">
        <v>9</v>
      </c>
      <c r="B57" s="204">
        <f t="shared" ca="1" si="12"/>
        <v>0.24449630926581334</v>
      </c>
      <c r="C57" s="220">
        <f t="shared" ca="1" si="11"/>
        <v>9</v>
      </c>
      <c r="D57" s="223" t="s">
        <v>258</v>
      </c>
      <c r="E57" s="224">
        <v>3</v>
      </c>
      <c r="F57" s="225" t="s">
        <v>194</v>
      </c>
      <c r="G57" s="202" t="s">
        <v>21</v>
      </c>
    </row>
    <row r="58" spans="1:7" x14ac:dyDescent="0.25">
      <c r="A58" s="202">
        <v>10</v>
      </c>
      <c r="B58" s="204">
        <f t="shared" ca="1" si="12"/>
        <v>0.87246435974715197</v>
      </c>
      <c r="C58" s="220">
        <f t="shared" ca="1" si="11"/>
        <v>3</v>
      </c>
      <c r="D58" s="223" t="s">
        <v>259</v>
      </c>
      <c r="E58" s="224">
        <v>30</v>
      </c>
      <c r="F58" s="225" t="s">
        <v>194</v>
      </c>
      <c r="G58" s="202" t="s">
        <v>21</v>
      </c>
    </row>
    <row r="59" spans="1:7" x14ac:dyDescent="0.25">
      <c r="A59" s="202">
        <v>11</v>
      </c>
      <c r="B59" s="204">
        <f t="shared" ca="1" si="12"/>
        <v>0.31201838162736473</v>
      </c>
      <c r="C59" s="220">
        <f t="shared" ca="1" si="11"/>
        <v>8</v>
      </c>
      <c r="D59" s="221" t="s">
        <v>192</v>
      </c>
      <c r="E59" s="222">
        <v>7</v>
      </c>
      <c r="F59" s="202" t="s">
        <v>266</v>
      </c>
      <c r="G59" s="202" t="s">
        <v>22</v>
      </c>
    </row>
    <row r="60" spans="1:7" x14ac:dyDescent="0.25">
      <c r="A60" s="202">
        <v>12</v>
      </c>
      <c r="B60" s="204">
        <f t="shared" ca="1" si="12"/>
        <v>0.62508663893645811</v>
      </c>
      <c r="C60" s="220">
        <f t="shared" ca="1" si="11"/>
        <v>5</v>
      </c>
      <c r="D60" s="221" t="s">
        <v>263</v>
      </c>
      <c r="E60" s="220">
        <v>7</v>
      </c>
      <c r="F60" s="202" t="s">
        <v>267</v>
      </c>
      <c r="G60" s="202" t="s">
        <v>22</v>
      </c>
    </row>
    <row r="61" spans="1:7" x14ac:dyDescent="0.25">
      <c r="A61" s="202">
        <v>13</v>
      </c>
      <c r="B61" s="204">
        <f t="shared" ca="1" si="12"/>
        <v>0.65369484291756064</v>
      </c>
      <c r="C61" s="220">
        <f t="shared" ca="1" si="11"/>
        <v>4</v>
      </c>
      <c r="D61" s="221" t="s">
        <v>262</v>
      </c>
      <c r="E61" s="220">
        <v>15</v>
      </c>
      <c r="F61" s="202" t="s">
        <v>267</v>
      </c>
      <c r="G61" s="202" t="s">
        <v>22</v>
      </c>
    </row>
    <row r="62" spans="1:7" s="156" customFormat="1" x14ac:dyDescent="0.25">
      <c r="A62" s="226"/>
      <c r="B62" s="204" t="s">
        <v>78</v>
      </c>
      <c r="C62" s="226"/>
      <c r="D62" s="237" t="s">
        <v>318</v>
      </c>
      <c r="E62" s="227">
        <v>0</v>
      </c>
      <c r="F62" s="237" t="s">
        <v>318</v>
      </c>
      <c r="G62" s="227" t="s">
        <v>22</v>
      </c>
    </row>
    <row r="63" spans="1:7" s="156" customFormat="1" x14ac:dyDescent="0.25">
      <c r="A63" s="226" t="s">
        <v>288</v>
      </c>
      <c r="B63" s="204" t="s">
        <v>286</v>
      </c>
      <c r="C63" s="226"/>
      <c r="D63" s="228"/>
      <c r="E63" s="228"/>
      <c r="F63" s="228"/>
      <c r="G63" s="228"/>
    </row>
    <row r="64" spans="1:7" s="156" customFormat="1" x14ac:dyDescent="0.25">
      <c r="A64" s="226"/>
      <c r="B64" s="229" t="s">
        <v>287</v>
      </c>
      <c r="C64" s="212">
        <f ca="1">IF(B43="Cleric",3,IF(B43="dwarf",8,IF(B43="halfling",8,9)))</f>
        <v>8</v>
      </c>
      <c r="D64" s="228"/>
      <c r="E64" s="228"/>
      <c r="F64" s="226"/>
      <c r="G64" s="226"/>
    </row>
    <row r="65" spans="1:7" s="156" customFormat="1" x14ac:dyDescent="0.25">
      <c r="A65" s="226"/>
      <c r="B65" s="230" t="s">
        <v>289</v>
      </c>
      <c r="C65" s="212">
        <f ca="1">RANDBETWEEN(1,C64)</f>
        <v>6</v>
      </c>
      <c r="D65" s="231" t="str">
        <f ca="1">IF(B43="magic-user",D72,VLOOKUP(C65,$C$67:$D$75,2,FALSE))</f>
        <v>Holy Water</v>
      </c>
      <c r="E65" s="201">
        <f ca="1">VLOOKUP(D65,D67:G75,2,FALSE)</f>
        <v>25</v>
      </c>
      <c r="F65" s="232" t="str">
        <f ca="1">VLOOKUP(D65,D67:G75,3,FALSE)</f>
        <v>d8</v>
      </c>
      <c r="G65" s="226" t="s">
        <v>292</v>
      </c>
    </row>
    <row r="66" spans="1:7" x14ac:dyDescent="0.25">
      <c r="A66" s="216"/>
      <c r="B66" s="233" t="s">
        <v>78</v>
      </c>
      <c r="C66" s="216" t="s">
        <v>77</v>
      </c>
      <c r="D66" s="234" t="s">
        <v>268</v>
      </c>
      <c r="E66" s="235" t="s">
        <v>251</v>
      </c>
      <c r="F66" s="216" t="s">
        <v>291</v>
      </c>
      <c r="G66" s="216" t="s">
        <v>271</v>
      </c>
    </row>
    <row r="67" spans="1:7" x14ac:dyDescent="0.25">
      <c r="A67" s="202">
        <v>1</v>
      </c>
      <c r="B67" s="204">
        <f t="shared" ca="1" si="12"/>
        <v>0.21092687020725664</v>
      </c>
      <c r="C67" s="202">
        <f ca="1">RANK(B67,$B$67:$B$75)</f>
        <v>8</v>
      </c>
      <c r="D67" s="221" t="s">
        <v>317</v>
      </c>
      <c r="E67" s="220">
        <v>2</v>
      </c>
      <c r="F67" s="202" t="s">
        <v>194</v>
      </c>
      <c r="G67" s="202" t="s">
        <v>21</v>
      </c>
    </row>
    <row r="68" spans="1:7" x14ac:dyDescent="0.25">
      <c r="A68" s="202">
        <v>2</v>
      </c>
      <c r="B68" s="204">
        <f t="shared" ca="1" si="12"/>
        <v>0.59654583495868907</v>
      </c>
      <c r="C68" s="202">
        <f t="shared" ref="C68:C75" ca="1" si="13">RANK(B68,$B$67:$B$75)</f>
        <v>6</v>
      </c>
      <c r="D68" s="236" t="s">
        <v>269</v>
      </c>
      <c r="E68" s="220">
        <v>25</v>
      </c>
      <c r="F68" s="202" t="s">
        <v>266</v>
      </c>
      <c r="G68" s="202" t="s">
        <v>21</v>
      </c>
    </row>
    <row r="69" spans="1:7" x14ac:dyDescent="0.25">
      <c r="A69" s="202">
        <v>3</v>
      </c>
      <c r="B69" s="204">
        <f t="shared" ca="1" si="12"/>
        <v>2.7367400529559993E-2</v>
      </c>
      <c r="C69" s="202">
        <f t="shared" ca="1" si="13"/>
        <v>9</v>
      </c>
      <c r="D69" s="236" t="s">
        <v>290</v>
      </c>
      <c r="E69" s="220">
        <v>1</v>
      </c>
      <c r="F69" s="202" t="s">
        <v>266</v>
      </c>
      <c r="G69" s="202" t="s">
        <v>21</v>
      </c>
    </row>
    <row r="70" spans="1:7" x14ac:dyDescent="0.25">
      <c r="A70" s="202">
        <v>4</v>
      </c>
      <c r="B70" s="204">
        <f t="shared" ca="1" si="12"/>
        <v>0.87647938039336182</v>
      </c>
      <c r="C70" s="202">
        <f t="shared" ca="1" si="13"/>
        <v>4</v>
      </c>
      <c r="D70" s="221" t="s">
        <v>272</v>
      </c>
      <c r="E70" s="220">
        <v>30</v>
      </c>
      <c r="F70" s="202" t="s">
        <v>195</v>
      </c>
      <c r="G70" s="202" t="s">
        <v>21</v>
      </c>
    </row>
    <row r="71" spans="1:7" x14ac:dyDescent="0.25">
      <c r="A71" s="202">
        <v>5</v>
      </c>
      <c r="B71" s="204">
        <f ca="1">RAND()</f>
        <v>0.46441761818498917</v>
      </c>
      <c r="C71" s="202">
        <f t="shared" ca="1" si="13"/>
        <v>7</v>
      </c>
      <c r="D71" s="221" t="s">
        <v>255</v>
      </c>
      <c r="E71" s="220">
        <v>25</v>
      </c>
      <c r="F71" s="202" t="s">
        <v>195</v>
      </c>
      <c r="G71" s="202" t="s">
        <v>21</v>
      </c>
    </row>
    <row r="72" spans="1:7" x14ac:dyDescent="0.25">
      <c r="A72" s="202">
        <v>6</v>
      </c>
      <c r="B72" s="204">
        <f ca="1">RAND()</f>
        <v>0.93638120431839422</v>
      </c>
      <c r="C72" s="202">
        <f t="shared" ca="1" si="13"/>
        <v>2</v>
      </c>
      <c r="D72" s="223" t="s">
        <v>258</v>
      </c>
      <c r="E72" s="224">
        <v>3</v>
      </c>
      <c r="F72" s="225" t="s">
        <v>194</v>
      </c>
      <c r="G72" s="202" t="s">
        <v>21</v>
      </c>
    </row>
    <row r="73" spans="1:7" x14ac:dyDescent="0.25">
      <c r="A73" s="202">
        <v>7</v>
      </c>
      <c r="B73" s="204">
        <f ca="1">RAND()</f>
        <v>0.89422963872641925</v>
      </c>
      <c r="C73" s="202">
        <f t="shared" ca="1" si="13"/>
        <v>3</v>
      </c>
      <c r="D73" s="223" t="s">
        <v>274</v>
      </c>
      <c r="E73" s="224">
        <v>9</v>
      </c>
      <c r="F73" s="225" t="s">
        <v>194</v>
      </c>
      <c r="G73" s="202" t="s">
        <v>21</v>
      </c>
    </row>
    <row r="74" spans="1:7" x14ac:dyDescent="0.25">
      <c r="A74" s="202">
        <v>8</v>
      </c>
      <c r="B74" s="204">
        <f ca="1">RAND()</f>
        <v>0.6809654702129081</v>
      </c>
      <c r="C74" s="202">
        <f t="shared" ca="1" si="13"/>
        <v>5</v>
      </c>
      <c r="D74" s="223" t="s">
        <v>259</v>
      </c>
      <c r="E74" s="224">
        <v>30</v>
      </c>
      <c r="F74" s="225" t="s">
        <v>194</v>
      </c>
      <c r="G74" s="202" t="s">
        <v>21</v>
      </c>
    </row>
    <row r="75" spans="1:7" x14ac:dyDescent="0.25">
      <c r="A75" s="202">
        <v>9</v>
      </c>
      <c r="B75" s="204">
        <f ca="1">RAND()</f>
        <v>0.9713550355903886</v>
      </c>
      <c r="C75" s="202">
        <f t="shared" ca="1" si="13"/>
        <v>1</v>
      </c>
      <c r="D75" s="221" t="s">
        <v>254</v>
      </c>
      <c r="E75" s="220">
        <v>40</v>
      </c>
      <c r="F75" s="202" t="s">
        <v>195</v>
      </c>
      <c r="G75" s="202" t="s">
        <v>21</v>
      </c>
    </row>
    <row r="76" spans="1:7" x14ac:dyDescent="0.25">
      <c r="A76" s="179"/>
    </row>
    <row r="78" spans="1:7" x14ac:dyDescent="0.25">
      <c r="D78" s="173" t="s">
        <v>256</v>
      </c>
      <c r="E78" s="2">
        <v>5</v>
      </c>
      <c r="F78" s="1" t="s">
        <v>195</v>
      </c>
    </row>
    <row r="79" spans="1:7" x14ac:dyDescent="0.25">
      <c r="D79" s="173" t="s">
        <v>257</v>
      </c>
      <c r="E79" s="2">
        <v>5</v>
      </c>
      <c r="F79" s="1" t="s">
        <v>195</v>
      </c>
    </row>
    <row r="80" spans="1:7" x14ac:dyDescent="0.25">
      <c r="D80" s="173" t="s">
        <v>273</v>
      </c>
      <c r="E80" s="2">
        <v>10</v>
      </c>
      <c r="F80" s="1" t="s">
        <v>195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3"/>
  <sheetViews>
    <sheetView workbookViewId="0">
      <selection activeCell="G13" sqref="G13"/>
    </sheetView>
  </sheetViews>
  <sheetFormatPr defaultRowHeight="15" x14ac:dyDescent="0.25"/>
  <cols>
    <col min="1" max="1" width="12.5703125" customWidth="1"/>
    <col min="2" max="2" width="15.7109375" customWidth="1"/>
    <col min="3" max="3" width="10.85546875" style="15" customWidth="1"/>
    <col min="4" max="4" width="8.28515625" style="15" customWidth="1"/>
    <col min="5" max="7" width="9.140625" style="15"/>
  </cols>
  <sheetData>
    <row r="1" spans="1:14" ht="14.45" x14ac:dyDescent="0.3">
      <c r="A1" s="5" t="s">
        <v>0</v>
      </c>
      <c r="B1" s="5"/>
      <c r="C1" s="19"/>
      <c r="D1" s="19"/>
      <c r="E1" s="19"/>
      <c r="F1" s="19"/>
      <c r="G1" s="19"/>
    </row>
    <row r="2" spans="1:14" ht="14.45" x14ac:dyDescent="0.3">
      <c r="A2" s="1" t="s">
        <v>24</v>
      </c>
      <c r="B2" s="18" t="str">
        <f>'USER TAB CUSTOM &amp; INSTRUCTIONS'!B10</f>
        <v>RANDOM</v>
      </c>
      <c r="C2" s="16"/>
      <c r="D2" s="16"/>
    </row>
    <row r="3" spans="1:14" ht="14.45" x14ac:dyDescent="0.3">
      <c r="A3" s="7" t="s">
        <v>25</v>
      </c>
      <c r="B3" s="17">
        <f ca="1">RANDBETWEEN(1,7)</f>
        <v>5</v>
      </c>
      <c r="C3" s="38" t="str">
        <f ca="1">VLOOKUP(B3,A7:B13,2,FALSE)</f>
        <v>Halfling</v>
      </c>
      <c r="D3" s="17"/>
    </row>
    <row r="4" spans="1:14" ht="14.45" x14ac:dyDescent="0.3">
      <c r="A4" s="131" t="s">
        <v>26</v>
      </c>
      <c r="B4" s="32" t="str">
        <f ca="1">IF(B2="RANDOM",C3,B2)</f>
        <v>Halfling</v>
      </c>
      <c r="C4" s="132" t="str">
        <f t="shared" ref="C4:E4" ca="1" si="0">VLOOKUP($B$4,$B$7:$N$13,C$5,FALSE)</f>
        <v>Dexterity</v>
      </c>
      <c r="D4" s="132" t="str">
        <f t="shared" ca="1" si="0"/>
        <v>Strength</v>
      </c>
      <c r="E4" s="132">
        <f t="shared" ca="1" si="0"/>
        <v>6</v>
      </c>
      <c r="F4" s="132" t="str">
        <f ca="1">VLOOKUP($B$4,$B$7:$N$13,F$5,FALSE)</f>
        <v>None</v>
      </c>
      <c r="G4" s="132" t="str">
        <f t="shared" ref="G4:L4" ca="1" si="1">VLOOKUP($B$4,$B$7:$N$13,G$5,FALSE)</f>
        <v>+1 to missile attack rolls, -2 AC vs Larger than man-sized creatures, +1 Initiative, Hide (10% outdoors, 1-2/d6 indoors)</v>
      </c>
      <c r="H4" s="132">
        <f t="shared" ca="1" si="1"/>
        <v>8</v>
      </c>
      <c r="I4" s="132" t="str">
        <f t="shared" ca="1" si="1"/>
        <v>Dex and Con 9</v>
      </c>
      <c r="J4" s="132">
        <f t="shared" ca="1" si="1"/>
        <v>0</v>
      </c>
      <c r="K4" s="132">
        <f t="shared" ca="1" si="1"/>
        <v>12</v>
      </c>
      <c r="L4" s="132" t="str">
        <f t="shared" ca="1" si="1"/>
        <v>Common, Halfling</v>
      </c>
      <c r="M4" s="15"/>
      <c r="N4" s="15"/>
    </row>
    <row r="5" spans="1:14" ht="14.45" x14ac:dyDescent="0.3">
      <c r="A5" s="56"/>
      <c r="B5" s="56" t="s">
        <v>179</v>
      </c>
      <c r="C5" s="56">
        <v>2</v>
      </c>
      <c r="D5" s="56">
        <v>3</v>
      </c>
      <c r="E5" s="56">
        <v>4</v>
      </c>
      <c r="F5" s="56">
        <v>5</v>
      </c>
      <c r="G5" s="56">
        <v>6</v>
      </c>
      <c r="H5" s="56">
        <v>7</v>
      </c>
      <c r="I5" s="56">
        <v>8</v>
      </c>
      <c r="J5" s="56">
        <v>9</v>
      </c>
      <c r="K5" s="56">
        <v>10</v>
      </c>
      <c r="L5" s="56">
        <v>11</v>
      </c>
      <c r="M5" s="56"/>
      <c r="N5" s="56"/>
    </row>
    <row r="6" spans="1:14" s="37" customFormat="1" thickBot="1" x14ac:dyDescent="0.35">
      <c r="A6" s="3"/>
      <c r="B6" s="41" t="s">
        <v>0</v>
      </c>
      <c r="C6" s="42" t="s">
        <v>10</v>
      </c>
      <c r="D6" s="42" t="s">
        <v>18</v>
      </c>
      <c r="E6" s="42" t="s">
        <v>100</v>
      </c>
      <c r="F6" s="42" t="s">
        <v>133</v>
      </c>
      <c r="G6" s="130" t="s">
        <v>17</v>
      </c>
      <c r="H6" s="133" t="s">
        <v>2</v>
      </c>
      <c r="I6" s="74" t="s">
        <v>226</v>
      </c>
      <c r="J6" s="182" t="s">
        <v>2</v>
      </c>
      <c r="K6" s="182" t="s">
        <v>278</v>
      </c>
      <c r="L6" s="197" t="s">
        <v>305</v>
      </c>
      <c r="M6" s="185"/>
      <c r="N6" s="185"/>
    </row>
    <row r="7" spans="1:14" ht="14.45" x14ac:dyDescent="0.3">
      <c r="A7" s="1">
        <v>1</v>
      </c>
      <c r="B7" s="12" t="s">
        <v>3</v>
      </c>
      <c r="C7" s="13" t="s">
        <v>12</v>
      </c>
      <c r="D7" s="13"/>
      <c r="E7" s="13">
        <v>6</v>
      </c>
      <c r="F7" s="112" t="s">
        <v>101</v>
      </c>
      <c r="G7" s="194" t="str">
        <f>B24</f>
        <v>Turn Undead: Skeleton (7), Zombie (9), Ghoul (11), Wight (No effect), Wraith (No effect)</v>
      </c>
      <c r="H7" s="2">
        <v>8</v>
      </c>
      <c r="I7" s="1" t="s">
        <v>103</v>
      </c>
      <c r="J7" s="1"/>
      <c r="K7" s="1">
        <v>4</v>
      </c>
      <c r="L7" s="60" t="s">
        <v>306</v>
      </c>
      <c r="M7" s="15"/>
      <c r="N7" s="15"/>
    </row>
    <row r="8" spans="1:14" ht="14.45" x14ac:dyDescent="0.3">
      <c r="A8" s="1">
        <v>2</v>
      </c>
      <c r="B8" s="1" t="s">
        <v>4</v>
      </c>
      <c r="C8" s="2" t="s">
        <v>11</v>
      </c>
      <c r="D8" s="2"/>
      <c r="E8" s="2">
        <v>8</v>
      </c>
      <c r="F8" s="60" t="s">
        <v>101</v>
      </c>
      <c r="G8" s="195" t="s">
        <v>304</v>
      </c>
      <c r="H8" s="2">
        <v>8</v>
      </c>
      <c r="I8" s="1" t="s">
        <v>227</v>
      </c>
      <c r="J8" s="1"/>
      <c r="K8" s="1">
        <v>12</v>
      </c>
      <c r="L8" s="60" t="s">
        <v>307</v>
      </c>
      <c r="M8" s="15"/>
      <c r="N8" s="15"/>
    </row>
    <row r="9" spans="1:14" ht="14.45" x14ac:dyDescent="0.3">
      <c r="A9" s="1">
        <v>3</v>
      </c>
      <c r="B9" s="1" t="s">
        <v>5</v>
      </c>
      <c r="C9" s="2" t="s">
        <v>13</v>
      </c>
      <c r="D9" s="47" t="s">
        <v>11</v>
      </c>
      <c r="E9" s="2">
        <v>6</v>
      </c>
      <c r="F9" s="60" t="s">
        <v>102</v>
      </c>
      <c r="G9" s="195" t="str">
        <f ca="1">"Infravision (60'), Find secret doors( 1-2/d6), Immune to paralysis,"&amp;B44&amp;", cast 1 1st level spell/day."</f>
        <v>Infravision (60'), Find secret doors( 1-2/d6), Immune to paralysis,Spellbook: Read Languages, Detect Magic, Sleep, Light, cast 1 1st level spell/day.</v>
      </c>
      <c r="H9" s="2">
        <v>8</v>
      </c>
      <c r="I9" s="1" t="s">
        <v>228</v>
      </c>
      <c r="J9" s="1"/>
      <c r="K9" s="1">
        <v>13</v>
      </c>
      <c r="L9" s="60" t="s">
        <v>308</v>
      </c>
      <c r="M9" s="15"/>
      <c r="N9" s="15"/>
    </row>
    <row r="10" spans="1:14" ht="14.45" x14ac:dyDescent="0.3">
      <c r="A10" s="1">
        <v>4</v>
      </c>
      <c r="B10" s="1" t="s">
        <v>6</v>
      </c>
      <c r="C10" s="2" t="s">
        <v>11</v>
      </c>
      <c r="D10" s="2"/>
      <c r="E10" s="2">
        <v>8</v>
      </c>
      <c r="F10" s="60" t="s">
        <v>101</v>
      </c>
      <c r="G10" s="195" t="s">
        <v>311</v>
      </c>
      <c r="H10" s="2">
        <v>8</v>
      </c>
      <c r="I10" s="1" t="s">
        <v>103</v>
      </c>
      <c r="J10" s="1"/>
      <c r="K10" s="1">
        <v>13</v>
      </c>
      <c r="L10" s="60" t="s">
        <v>306</v>
      </c>
      <c r="M10" s="15"/>
      <c r="N10" s="15"/>
    </row>
    <row r="11" spans="1:14" ht="14.45" x14ac:dyDescent="0.3">
      <c r="A11" s="1">
        <v>5</v>
      </c>
      <c r="B11" s="1" t="s">
        <v>7</v>
      </c>
      <c r="C11" s="2" t="s">
        <v>14</v>
      </c>
      <c r="D11" s="47" t="s">
        <v>11</v>
      </c>
      <c r="E11" s="2">
        <v>6</v>
      </c>
      <c r="F11" s="60" t="s">
        <v>101</v>
      </c>
      <c r="G11" s="196" t="s">
        <v>310</v>
      </c>
      <c r="H11" s="2">
        <v>8</v>
      </c>
      <c r="I11" s="1" t="s">
        <v>229</v>
      </c>
      <c r="J11" s="1"/>
      <c r="K11" s="1">
        <v>12</v>
      </c>
      <c r="L11" s="193" t="s">
        <v>309</v>
      </c>
      <c r="M11" s="15"/>
      <c r="N11" s="15"/>
    </row>
    <row r="12" spans="1:14" ht="14.45" x14ac:dyDescent="0.3">
      <c r="A12" s="1">
        <v>6</v>
      </c>
      <c r="B12" s="1" t="s">
        <v>8</v>
      </c>
      <c r="C12" s="2" t="s">
        <v>13</v>
      </c>
      <c r="D12" s="2"/>
      <c r="E12" s="2">
        <v>4</v>
      </c>
      <c r="F12" s="60" t="s">
        <v>102</v>
      </c>
      <c r="G12" s="195" t="str">
        <f ca="1">"Cast (1) 1st level spell/day, "&amp;B44</f>
        <v>Cast (1) 1st level spell/day, Spellbook: Read Languages, Detect Magic, Sleep, Light</v>
      </c>
      <c r="H12" s="2">
        <v>1</v>
      </c>
      <c r="I12" s="1" t="s">
        <v>103</v>
      </c>
      <c r="J12" s="1"/>
      <c r="K12" s="1">
        <v>0</v>
      </c>
      <c r="L12" s="60" t="s">
        <v>306</v>
      </c>
      <c r="M12" s="15"/>
      <c r="N12" s="15"/>
    </row>
    <row r="13" spans="1:14" ht="14.45" x14ac:dyDescent="0.3">
      <c r="A13" s="1">
        <v>7</v>
      </c>
      <c r="B13" s="1" t="s">
        <v>9</v>
      </c>
      <c r="C13" s="2" t="s">
        <v>14</v>
      </c>
      <c r="D13" s="2"/>
      <c r="E13" s="2">
        <v>4</v>
      </c>
      <c r="F13" s="60" t="s">
        <v>103</v>
      </c>
      <c r="G13" s="195" t="str">
        <f>B61&amp;", Sneak attack from behind: +4 to hit and does double damage"</f>
        <v>Open Locks (10%), Find/Remove Traps (10%), Pick Pockets (20%), Move Silently (20%), Climb Sheer Surfaces (87%), Hide in Shadows (10%), Hear Noise (1-2/d6), Sneak attack from behind: +4 to hit and does double damage</v>
      </c>
      <c r="H13" s="2">
        <v>2</v>
      </c>
      <c r="I13" s="1" t="s">
        <v>103</v>
      </c>
      <c r="J13" s="1"/>
      <c r="K13" s="1">
        <v>13</v>
      </c>
      <c r="L13" s="60" t="s">
        <v>320</v>
      </c>
      <c r="M13" s="15"/>
      <c r="N13" s="15"/>
    </row>
    <row r="15" spans="1:14" thickBot="1" x14ac:dyDescent="0.35"/>
    <row r="16" spans="1:14" thickBot="1" x14ac:dyDescent="0.35">
      <c r="A16" s="66" t="s">
        <v>121</v>
      </c>
      <c r="B16" s="67"/>
      <c r="C16" s="105"/>
      <c r="D16" s="105"/>
      <c r="E16" s="105"/>
      <c r="F16" s="105"/>
      <c r="G16" s="106"/>
    </row>
    <row r="17" spans="1:7" ht="14.45" x14ac:dyDescent="0.3">
      <c r="A17" s="94" t="s">
        <v>87</v>
      </c>
      <c r="B17" s="83" t="s">
        <v>24</v>
      </c>
      <c r="C17" s="84" t="str">
        <f>'USER TAB CUSTOM &amp; INSTRUCTIONS'!B12</f>
        <v>Max at first, then random per level</v>
      </c>
      <c r="D17" s="85"/>
      <c r="E17" s="101"/>
      <c r="F17" s="86" t="s">
        <v>76</v>
      </c>
      <c r="G17" s="98"/>
    </row>
    <row r="18" spans="1:7" ht="14.45" x14ac:dyDescent="0.3">
      <c r="A18" s="69"/>
      <c r="B18" s="6"/>
      <c r="C18" s="79" t="s">
        <v>91</v>
      </c>
      <c r="D18" s="56" t="s">
        <v>92</v>
      </c>
      <c r="E18" s="56" t="s">
        <v>93</v>
      </c>
      <c r="F18" s="82" t="s">
        <v>95</v>
      </c>
      <c r="G18" s="99"/>
    </row>
    <row r="19" spans="1:7" ht="14.45" x14ac:dyDescent="0.3">
      <c r="A19" s="71" t="s">
        <v>88</v>
      </c>
      <c r="B19" s="1" t="s">
        <v>89</v>
      </c>
      <c r="C19" s="2">
        <f ca="1">RANDBETWEEN(1,E4)</f>
        <v>3</v>
      </c>
      <c r="D19" s="2">
        <f ca="1">VLOOKUP(ABILITIES!B19,ABILITIES!A73:C79,3,TRUE)</f>
        <v>0</v>
      </c>
      <c r="E19" s="2">
        <f ca="1">SUM(C19:D19)</f>
        <v>3</v>
      </c>
      <c r="F19" s="2">
        <f ca="1">IF(E19&lt;1,1,E19)</f>
        <v>3</v>
      </c>
      <c r="G19" s="99"/>
    </row>
    <row r="20" spans="1:7" ht="14.45" x14ac:dyDescent="0.3">
      <c r="A20" s="71"/>
      <c r="B20" s="1" t="s">
        <v>90</v>
      </c>
      <c r="C20" s="2">
        <f ca="1">E4</f>
        <v>6</v>
      </c>
      <c r="D20" s="2">
        <f ca="1">D19</f>
        <v>0</v>
      </c>
      <c r="E20" s="2">
        <f ca="1">SUM(C20:D20)</f>
        <v>6</v>
      </c>
      <c r="F20" s="2">
        <f ca="1">IF(E20&lt;1,1,E20)</f>
        <v>6</v>
      </c>
      <c r="G20" s="99"/>
    </row>
    <row r="21" spans="1:7" thickBot="1" x14ac:dyDescent="0.35">
      <c r="A21" s="95"/>
      <c r="B21" s="96"/>
      <c r="C21" s="97"/>
      <c r="D21" s="91" t="s">
        <v>96</v>
      </c>
      <c r="E21" s="92">
        <f ca="1">IF(C17=VARIABLES!E5,CLASS!F19,CLASS!F20)</f>
        <v>6</v>
      </c>
      <c r="F21" s="97"/>
      <c r="G21" s="100"/>
    </row>
    <row r="23" spans="1:7" ht="14.45" x14ac:dyDescent="0.3">
      <c r="A23" s="5" t="s">
        <v>104</v>
      </c>
      <c r="B23" s="5" t="s">
        <v>17</v>
      </c>
      <c r="C23" s="19"/>
      <c r="D23" s="19"/>
      <c r="E23" s="19"/>
      <c r="F23" s="19"/>
      <c r="G23" s="19"/>
    </row>
    <row r="24" spans="1:7" ht="14.45" x14ac:dyDescent="0.3">
      <c r="A24">
        <v>1</v>
      </c>
      <c r="B24" t="s">
        <v>131</v>
      </c>
    </row>
    <row r="25" spans="1:7" ht="14.45" x14ac:dyDescent="0.3">
      <c r="A25">
        <v>2</v>
      </c>
    </row>
    <row r="26" spans="1:7" ht="14.45" x14ac:dyDescent="0.3">
      <c r="A26">
        <v>3</v>
      </c>
    </row>
    <row r="27" spans="1:7" ht="14.45" x14ac:dyDescent="0.3">
      <c r="A27" s="5" t="s">
        <v>134</v>
      </c>
      <c r="B27" s="5"/>
    </row>
    <row r="28" spans="1:7" ht="14.45" x14ac:dyDescent="0.3">
      <c r="A28" s="1">
        <v>1</v>
      </c>
      <c r="B28" s="1" t="s">
        <v>123</v>
      </c>
    </row>
    <row r="29" spans="1:7" ht="14.45" x14ac:dyDescent="0.3">
      <c r="A29" s="1">
        <v>2</v>
      </c>
      <c r="B29" s="1" t="s">
        <v>124</v>
      </c>
    </row>
    <row r="30" spans="1:7" ht="14.45" x14ac:dyDescent="0.3">
      <c r="A30" s="1">
        <v>3</v>
      </c>
      <c r="B30" s="1" t="s">
        <v>108</v>
      </c>
    </row>
    <row r="31" spans="1:7" ht="14.45" x14ac:dyDescent="0.3">
      <c r="A31" s="1">
        <v>4</v>
      </c>
      <c r="B31" s="1" t="s">
        <v>111</v>
      </c>
    </row>
    <row r="32" spans="1:7" ht="14.45" x14ac:dyDescent="0.3">
      <c r="A32" s="1">
        <v>5</v>
      </c>
      <c r="B32" s="1" t="s">
        <v>113</v>
      </c>
    </row>
    <row r="33" spans="1:7" ht="14.45" x14ac:dyDescent="0.3">
      <c r="A33" s="1">
        <v>6</v>
      </c>
      <c r="B33" s="1" t="s">
        <v>125</v>
      </c>
    </row>
    <row r="34" spans="1:7" ht="14.45" x14ac:dyDescent="0.3">
      <c r="A34" s="1">
        <v>7</v>
      </c>
      <c r="B34" s="1" t="s">
        <v>126</v>
      </c>
    </row>
    <row r="35" spans="1:7" ht="14.45" x14ac:dyDescent="0.3">
      <c r="A35" s="1">
        <v>8</v>
      </c>
      <c r="B35" s="1" t="s">
        <v>127</v>
      </c>
    </row>
    <row r="36" spans="1:7" ht="14.45" x14ac:dyDescent="0.3">
      <c r="A36" s="1">
        <v>9</v>
      </c>
      <c r="B36" s="1"/>
    </row>
    <row r="37" spans="1:7" ht="14.45" x14ac:dyDescent="0.3">
      <c r="A37" s="1">
        <v>10</v>
      </c>
      <c r="B37" s="1"/>
    </row>
    <row r="38" spans="1:7" ht="14.45" x14ac:dyDescent="0.3">
      <c r="A38" s="1">
        <v>11</v>
      </c>
      <c r="B38" s="1"/>
    </row>
    <row r="39" spans="1:7" ht="14.45" x14ac:dyDescent="0.3">
      <c r="A39" s="1">
        <v>12</v>
      </c>
      <c r="B39" s="1"/>
    </row>
    <row r="41" spans="1:7" thickBot="1" x14ac:dyDescent="0.35"/>
    <row r="42" spans="1:7" thickBot="1" x14ac:dyDescent="0.35">
      <c r="A42" s="107" t="s">
        <v>105</v>
      </c>
      <c r="B42" s="108"/>
      <c r="C42" s="109"/>
      <c r="D42" s="109"/>
      <c r="E42" s="109"/>
      <c r="F42" s="109"/>
      <c r="G42" s="110"/>
    </row>
    <row r="43" spans="1:7" ht="15.75" thickBot="1" x14ac:dyDescent="0.3">
      <c r="A43" s="104" t="s">
        <v>122</v>
      </c>
      <c r="B43" s="87"/>
      <c r="C43" s="11"/>
      <c r="D43" s="11"/>
      <c r="E43" s="11"/>
      <c r="F43" s="11"/>
      <c r="G43" s="88"/>
    </row>
    <row r="44" spans="1:7" ht="15.75" thickBot="1" x14ac:dyDescent="0.3">
      <c r="A44" s="121" t="s">
        <v>132</v>
      </c>
      <c r="B44" s="124" t="str">
        <f ca="1">"Spellbook: "&amp;E46&amp;", "&amp;E47&amp;", "&amp;E48&amp;", "&amp;E49</f>
        <v>Spellbook: Read Languages, Detect Magic, Sleep, Light</v>
      </c>
      <c r="C44" s="125"/>
      <c r="D44" s="117"/>
      <c r="E44" s="117"/>
      <c r="F44" s="113"/>
      <c r="G44" s="114"/>
    </row>
    <row r="45" spans="1:7" x14ac:dyDescent="0.25">
      <c r="A45" s="77"/>
      <c r="B45" s="62" t="s">
        <v>84</v>
      </c>
      <c r="C45" s="62" t="s">
        <v>77</v>
      </c>
      <c r="D45" s="77" t="s">
        <v>141</v>
      </c>
      <c r="E45" s="62" t="s">
        <v>142</v>
      </c>
      <c r="F45" s="115"/>
      <c r="G45" s="123"/>
    </row>
    <row r="46" spans="1:7" x14ac:dyDescent="0.25">
      <c r="A46" s="111">
        <v>1</v>
      </c>
      <c r="B46" s="11">
        <f ca="1">RAND()</f>
        <v>0.36769080115694464</v>
      </c>
      <c r="C46" s="11">
        <f t="shared" ref="C46:C57" ca="1" si="2">RANK(B46,$B$46:$B$57)</f>
        <v>8</v>
      </c>
      <c r="D46" s="7" t="s">
        <v>107</v>
      </c>
      <c r="E46" s="126" t="str">
        <f ca="1">VLOOKUP(A46,$C$46:$D$57,2,FALSE)</f>
        <v>Read Languages</v>
      </c>
      <c r="F46" s="11"/>
      <c r="G46" s="88"/>
    </row>
    <row r="47" spans="1:7" x14ac:dyDescent="0.25">
      <c r="A47" s="111">
        <v>2</v>
      </c>
      <c r="B47" s="11">
        <f t="shared" ref="B47:B57" ca="1" si="3">RAND()</f>
        <v>0.88693871924813827</v>
      </c>
      <c r="C47" s="11">
        <f t="shared" ca="1" si="2"/>
        <v>2</v>
      </c>
      <c r="D47" s="7" t="s">
        <v>108</v>
      </c>
      <c r="E47" s="120" t="str">
        <f t="shared" ref="E47:E57" ca="1" si="4">VLOOKUP(A47,$C$46:$D$57,2,FALSE)</f>
        <v>Detect Magic</v>
      </c>
      <c r="F47" s="11"/>
      <c r="G47" s="88"/>
    </row>
    <row r="48" spans="1:7" x14ac:dyDescent="0.25">
      <c r="A48" s="111">
        <v>3</v>
      </c>
      <c r="B48" s="11">
        <f t="shared" ca="1" si="3"/>
        <v>0.23901527135469502</v>
      </c>
      <c r="C48" s="11">
        <f t="shared" ca="1" si="2"/>
        <v>9</v>
      </c>
      <c r="D48" s="7" t="s">
        <v>109</v>
      </c>
      <c r="E48" s="120" t="str">
        <f t="shared" ca="1" si="4"/>
        <v>Sleep</v>
      </c>
      <c r="F48" s="11"/>
      <c r="G48" s="88"/>
    </row>
    <row r="49" spans="1:7" x14ac:dyDescent="0.25">
      <c r="A49" s="111">
        <v>4</v>
      </c>
      <c r="B49" s="11">
        <f t="shared" ca="1" si="3"/>
        <v>0.42530271661504826</v>
      </c>
      <c r="C49" s="11">
        <f t="shared" ca="1" si="2"/>
        <v>6</v>
      </c>
      <c r="D49" s="7" t="s">
        <v>110</v>
      </c>
      <c r="E49" s="120" t="str">
        <f t="shared" ca="1" si="4"/>
        <v>Light</v>
      </c>
      <c r="F49" s="11"/>
      <c r="G49" s="88"/>
    </row>
    <row r="50" spans="1:7" x14ac:dyDescent="0.25">
      <c r="A50" s="111">
        <v>5</v>
      </c>
      <c r="B50" s="11">
        <f t="shared" ca="1" si="3"/>
        <v>0.72243260410684274</v>
      </c>
      <c r="C50" s="11">
        <f t="shared" ca="1" si="2"/>
        <v>4</v>
      </c>
      <c r="D50" s="7" t="s">
        <v>111</v>
      </c>
      <c r="E50" s="120" t="str">
        <f t="shared" ca="1" si="4"/>
        <v>Read Magic</v>
      </c>
      <c r="F50" s="11"/>
      <c r="G50" s="88"/>
    </row>
    <row r="51" spans="1:7" x14ac:dyDescent="0.25">
      <c r="A51" s="111">
        <v>6</v>
      </c>
      <c r="B51" s="11">
        <f t="shared" ca="1" si="3"/>
        <v>0.1978414149371579</v>
      </c>
      <c r="C51" s="11">
        <f t="shared" ca="1" si="2"/>
        <v>11</v>
      </c>
      <c r="D51" s="7" t="s">
        <v>112</v>
      </c>
      <c r="E51" s="120" t="str">
        <f t="shared" ca="1" si="4"/>
        <v>Hold Portal</v>
      </c>
      <c r="F51" s="11"/>
      <c r="G51" s="88"/>
    </row>
    <row r="52" spans="1:7" x14ac:dyDescent="0.25">
      <c r="A52" s="111">
        <v>7</v>
      </c>
      <c r="B52" s="11">
        <f t="shared" ca="1" si="3"/>
        <v>0.42397139470692613</v>
      </c>
      <c r="C52" s="11">
        <f t="shared" ca="1" si="2"/>
        <v>7</v>
      </c>
      <c r="D52" s="7" t="s">
        <v>113</v>
      </c>
      <c r="E52" s="120" t="str">
        <f t="shared" ca="1" si="4"/>
        <v>Protection from Evil</v>
      </c>
      <c r="F52" s="11"/>
      <c r="G52" s="88"/>
    </row>
    <row r="53" spans="1:7" x14ac:dyDescent="0.25">
      <c r="A53" s="111">
        <v>8</v>
      </c>
      <c r="B53" s="11">
        <f t="shared" ca="1" si="3"/>
        <v>0.9818106218763053</v>
      </c>
      <c r="C53" s="11">
        <f t="shared" ca="1" si="2"/>
        <v>1</v>
      </c>
      <c r="D53" s="7" t="s">
        <v>114</v>
      </c>
      <c r="E53" s="120" t="str">
        <f t="shared" ca="1" si="4"/>
        <v>Charm Person</v>
      </c>
      <c r="F53" s="11"/>
      <c r="G53" s="88"/>
    </row>
    <row r="54" spans="1:7" x14ac:dyDescent="0.25">
      <c r="A54" s="111">
        <v>9</v>
      </c>
      <c r="B54" s="11">
        <f t="shared" ca="1" si="3"/>
        <v>0.66875747265602092</v>
      </c>
      <c r="C54" s="11">
        <f t="shared" ca="1" si="2"/>
        <v>5</v>
      </c>
      <c r="D54" s="7" t="s">
        <v>115</v>
      </c>
      <c r="E54" s="120" t="str">
        <f t="shared" ca="1" si="4"/>
        <v>Floating Disc</v>
      </c>
      <c r="F54" s="11"/>
      <c r="G54" s="88"/>
    </row>
    <row r="55" spans="1:7" x14ac:dyDescent="0.25">
      <c r="A55" s="111">
        <v>10</v>
      </c>
      <c r="B55" s="11">
        <f t="shared" ca="1" si="3"/>
        <v>0.1307543266576402</v>
      </c>
      <c r="C55" s="11">
        <f t="shared" ca="1" si="2"/>
        <v>12</v>
      </c>
      <c r="D55" s="7" t="s">
        <v>116</v>
      </c>
      <c r="E55" s="120" t="str">
        <f t="shared" ca="1" si="4"/>
        <v>Ventriloquism</v>
      </c>
      <c r="F55" s="11"/>
      <c r="G55" s="88"/>
    </row>
    <row r="56" spans="1:7" x14ac:dyDescent="0.25">
      <c r="A56" s="111">
        <v>11</v>
      </c>
      <c r="B56" s="11">
        <f t="shared" ca="1" si="3"/>
        <v>0.79711504895921914</v>
      </c>
      <c r="C56" s="11">
        <f t="shared" ca="1" si="2"/>
        <v>3</v>
      </c>
      <c r="D56" s="7" t="s">
        <v>117</v>
      </c>
      <c r="E56" s="120" t="str">
        <f t="shared" ca="1" si="4"/>
        <v>Magic Missile</v>
      </c>
      <c r="F56" s="11"/>
      <c r="G56" s="88"/>
    </row>
    <row r="57" spans="1:7" ht="15.75" thickBot="1" x14ac:dyDescent="0.3">
      <c r="A57" s="33">
        <v>12</v>
      </c>
      <c r="B57" s="90">
        <f t="shared" ca="1" si="3"/>
        <v>0.22170033531647015</v>
      </c>
      <c r="C57" s="90">
        <f t="shared" ca="1" si="2"/>
        <v>10</v>
      </c>
      <c r="D57" s="89" t="s">
        <v>118</v>
      </c>
      <c r="E57" s="122" t="str">
        <f t="shared" ca="1" si="4"/>
        <v>Shield</v>
      </c>
      <c r="F57" s="90"/>
      <c r="G57" s="93"/>
    </row>
    <row r="59" spans="1:7" x14ac:dyDescent="0.25">
      <c r="A59" s="5" t="s">
        <v>106</v>
      </c>
      <c r="B59" s="5"/>
      <c r="C59" s="19"/>
      <c r="D59" s="19"/>
      <c r="E59" s="19"/>
      <c r="F59" s="19"/>
      <c r="G59" s="19"/>
    </row>
    <row r="60" spans="1:7" ht="15.75" thickBot="1" x14ac:dyDescent="0.3">
      <c r="A60" s="6" t="s">
        <v>128</v>
      </c>
      <c r="B60" s="35" t="s">
        <v>130</v>
      </c>
    </row>
    <row r="61" spans="1:7" x14ac:dyDescent="0.25">
      <c r="A61" s="43">
        <v>1</v>
      </c>
      <c r="B61" s="116" t="s">
        <v>129</v>
      </c>
      <c r="C61" s="117"/>
      <c r="D61" s="117"/>
      <c r="E61" s="117"/>
      <c r="F61" s="117"/>
      <c r="G61" s="118"/>
    </row>
    <row r="62" spans="1:7" x14ac:dyDescent="0.25">
      <c r="A62" s="43">
        <v>2</v>
      </c>
      <c r="B62" s="71"/>
      <c r="C62" s="11"/>
      <c r="D62" s="11"/>
      <c r="E62" s="11"/>
      <c r="F62" s="11"/>
      <c r="G62" s="88"/>
    </row>
    <row r="63" spans="1:7" ht="15.75" thickBot="1" x14ac:dyDescent="0.3">
      <c r="A63" s="43">
        <v>3</v>
      </c>
      <c r="B63" s="119"/>
      <c r="C63" s="90"/>
      <c r="D63" s="90"/>
      <c r="E63" s="90"/>
      <c r="F63" s="90"/>
      <c r="G63" s="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:F3"/>
    </sheetView>
  </sheetViews>
  <sheetFormatPr defaultRowHeight="15" x14ac:dyDescent="0.25"/>
  <cols>
    <col min="1" max="1" width="20.140625" customWidth="1"/>
  </cols>
  <sheetData>
    <row r="1" spans="1:6" ht="14.45" x14ac:dyDescent="0.3">
      <c r="B1" t="s">
        <v>27</v>
      </c>
    </row>
    <row r="2" spans="1:6" ht="14.45" x14ac:dyDescent="0.3">
      <c r="A2" s="151" t="s">
        <v>169</v>
      </c>
      <c r="B2" s="151">
        <v>2</v>
      </c>
      <c r="C2" s="151">
        <v>3</v>
      </c>
      <c r="D2" s="151">
        <v>4</v>
      </c>
      <c r="E2" s="151">
        <v>5</v>
      </c>
      <c r="F2" s="151">
        <v>6</v>
      </c>
    </row>
    <row r="3" spans="1:6" s="148" customFormat="1" ht="58.9" customHeight="1" x14ac:dyDescent="0.3">
      <c r="A3" s="149" t="s">
        <v>0</v>
      </c>
      <c r="B3" s="149" t="s">
        <v>196</v>
      </c>
      <c r="C3" s="149" t="s">
        <v>197</v>
      </c>
      <c r="D3" s="149" t="s">
        <v>198</v>
      </c>
      <c r="E3" s="149" t="s">
        <v>199</v>
      </c>
      <c r="F3" s="149" t="s">
        <v>200</v>
      </c>
    </row>
    <row r="4" spans="1:6" ht="14.45" x14ac:dyDescent="0.3">
      <c r="A4" s="150" t="s">
        <v>202</v>
      </c>
      <c r="B4" s="150">
        <v>14</v>
      </c>
      <c r="C4" s="150">
        <v>15</v>
      </c>
      <c r="D4" s="150">
        <v>16</v>
      </c>
      <c r="E4" s="150">
        <v>18</v>
      </c>
      <c r="F4" s="150">
        <v>17</v>
      </c>
    </row>
    <row r="5" spans="1:6" ht="14.45" x14ac:dyDescent="0.3">
      <c r="A5" s="150" t="s">
        <v>3</v>
      </c>
      <c r="B5" s="150">
        <v>11</v>
      </c>
      <c r="C5" s="150">
        <v>12</v>
      </c>
      <c r="D5" s="150">
        <v>14</v>
      </c>
      <c r="E5" s="150">
        <v>16</v>
      </c>
      <c r="F5" s="150">
        <v>15</v>
      </c>
    </row>
    <row r="6" spans="1:6" ht="14.45" x14ac:dyDescent="0.3">
      <c r="A6" s="150" t="s">
        <v>4</v>
      </c>
      <c r="B6" s="150">
        <v>10</v>
      </c>
      <c r="C6" s="150">
        <v>11</v>
      </c>
      <c r="D6" s="150">
        <v>12</v>
      </c>
      <c r="E6" s="150">
        <v>13</v>
      </c>
      <c r="F6" s="150">
        <v>14</v>
      </c>
    </row>
    <row r="7" spans="1:6" ht="14.45" x14ac:dyDescent="0.3">
      <c r="A7" s="150" t="s">
        <v>7</v>
      </c>
      <c r="B7" s="150">
        <v>10</v>
      </c>
      <c r="C7" s="150">
        <v>11</v>
      </c>
      <c r="D7" s="150">
        <v>12</v>
      </c>
      <c r="E7" s="150">
        <v>13</v>
      </c>
      <c r="F7" s="150">
        <v>14</v>
      </c>
    </row>
    <row r="8" spans="1:6" ht="14.45" x14ac:dyDescent="0.3">
      <c r="A8" s="150" t="s">
        <v>5</v>
      </c>
      <c r="B8" s="150">
        <v>12</v>
      </c>
      <c r="C8" s="150">
        <v>13</v>
      </c>
      <c r="D8" s="150">
        <v>13</v>
      </c>
      <c r="E8" s="150">
        <v>15</v>
      </c>
      <c r="F8" s="150">
        <v>15</v>
      </c>
    </row>
    <row r="9" spans="1:6" ht="14.45" x14ac:dyDescent="0.3">
      <c r="A9" s="150" t="s">
        <v>6</v>
      </c>
      <c r="B9" s="150">
        <v>12</v>
      </c>
      <c r="C9" s="150">
        <v>13</v>
      </c>
      <c r="D9" s="150">
        <v>14</v>
      </c>
      <c r="E9" s="150">
        <v>15</v>
      </c>
      <c r="F9" s="150">
        <v>16</v>
      </c>
    </row>
    <row r="10" spans="1:6" ht="14.45" x14ac:dyDescent="0.3">
      <c r="A10" s="150" t="s">
        <v>201</v>
      </c>
      <c r="B10" s="150">
        <v>13</v>
      </c>
      <c r="C10" s="150">
        <v>14</v>
      </c>
      <c r="D10" s="150">
        <v>13</v>
      </c>
      <c r="E10" s="150">
        <v>16</v>
      </c>
      <c r="F10" s="150">
        <v>15</v>
      </c>
    </row>
    <row r="11" spans="1:6" ht="14.45" x14ac:dyDescent="0.3">
      <c r="A11" s="150" t="s">
        <v>9</v>
      </c>
      <c r="B11" s="150">
        <v>13</v>
      </c>
      <c r="C11" s="150">
        <v>14</v>
      </c>
      <c r="D11" s="150">
        <v>13</v>
      </c>
      <c r="E11" s="150">
        <v>16</v>
      </c>
      <c r="F11" s="150">
        <v>15</v>
      </c>
    </row>
    <row r="12" spans="1:6" ht="14.45" x14ac:dyDescent="0.3">
      <c r="A12" s="34" t="str">
        <f ca="1">CLASS!B4</f>
        <v>Halfling</v>
      </c>
      <c r="B12" s="34">
        <f ca="1">VLOOKUP($A$12,SAVES!$A$4:$F$11,B2,FALSE)</f>
        <v>10</v>
      </c>
      <c r="C12" s="34">
        <f ca="1">VLOOKUP($A$12,SAVES!$A$4:$F$11,C2,FALSE)</f>
        <v>11</v>
      </c>
      <c r="D12" s="34">
        <f ca="1">VLOOKUP($A$12,SAVES!$A$4:$F$11,D2,FALSE)</f>
        <v>12</v>
      </c>
      <c r="E12" s="34">
        <f ca="1">VLOOKUP($A$12,SAVES!$A$4:$F$11,E2,FALSE)</f>
        <v>13</v>
      </c>
      <c r="F12" s="34">
        <f ca="1">VLOOKUP($A$12,SAVES!$A$4:$F$11,F2,FALSE)</f>
        <v>14</v>
      </c>
    </row>
    <row r="13" spans="1:6" ht="14.45" x14ac:dyDescent="0.3">
      <c r="A13" s="15"/>
      <c r="B13" s="15"/>
      <c r="C13" s="15"/>
      <c r="D13" s="15"/>
      <c r="E13" s="15"/>
      <c r="F13" s="15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F13" sqref="F13"/>
    </sheetView>
  </sheetViews>
  <sheetFormatPr defaultColWidth="8.85546875" defaultRowHeight="18.75" x14ac:dyDescent="0.3"/>
  <cols>
    <col min="1" max="1" width="14.7109375" style="264" customWidth="1"/>
    <col min="2" max="3" width="8.85546875" style="264"/>
    <col min="4" max="4" width="15.28515625" style="264" bestFit="1" customWidth="1"/>
    <col min="5" max="5" width="32.28515625" style="264" bestFit="1" customWidth="1"/>
    <col min="6" max="16384" width="8.85546875" style="264"/>
  </cols>
  <sheetData>
    <row r="1" spans="1:15" ht="19.5" thickBot="1" x14ac:dyDescent="0.35">
      <c r="A1" s="265" t="s">
        <v>20</v>
      </c>
      <c r="B1" s="285" t="str">
        <f ca="1">CLASS!B4</f>
        <v>Halfling</v>
      </c>
      <c r="F1" s="360"/>
      <c r="G1" s="359" t="s">
        <v>373</v>
      </c>
      <c r="H1" s="286">
        <f ca="1">VLOOKUP(ABILITIES!B16,ABILITIES!A49:C55,3,TRUE)</f>
        <v>0</v>
      </c>
      <c r="J1" s="291">
        <f ca="1">RANDBETWEEN(1,3)</f>
        <v>3</v>
      </c>
    </row>
    <row r="2" spans="1:15" s="289" customFormat="1" x14ac:dyDescent="0.3">
      <c r="A2" s="288"/>
      <c r="F2" s="290" t="str">
        <f ca="1">CLASS!L4&amp;" "&amp;I5&amp;I6&amp;I7&amp;I8&amp;I9</f>
        <v xml:space="preserve">Common, Halfling </v>
      </c>
      <c r="G2" s="290"/>
      <c r="H2" s="290"/>
      <c r="I2" s="290"/>
      <c r="J2" s="291" t="str">
        <f ca="1">VLOOKUP(J1,A5:J7,10,FALSE)</f>
        <v>Neutral</v>
      </c>
    </row>
    <row r="3" spans="1:15" s="289" customFormat="1" x14ac:dyDescent="0.3">
      <c r="A3" s="292" t="s">
        <v>169</v>
      </c>
      <c r="B3" s="292">
        <v>2</v>
      </c>
      <c r="C3" s="292">
        <v>3</v>
      </c>
      <c r="D3" s="292">
        <v>4</v>
      </c>
      <c r="E3" s="292">
        <v>5</v>
      </c>
      <c r="F3" s="292">
        <v>6</v>
      </c>
      <c r="G3" s="292">
        <v>7</v>
      </c>
      <c r="H3" s="292">
        <v>8</v>
      </c>
      <c r="I3" s="361">
        <v>9</v>
      </c>
      <c r="J3" s="365">
        <v>10</v>
      </c>
      <c r="K3" s="362">
        <v>11</v>
      </c>
      <c r="L3" s="292">
        <v>12</v>
      </c>
      <c r="M3" s="292">
        <v>13</v>
      </c>
      <c r="N3" s="292">
        <v>14</v>
      </c>
      <c r="O3" s="292">
        <v>15</v>
      </c>
    </row>
    <row r="4" spans="1:15" x14ac:dyDescent="0.3">
      <c r="A4" s="293">
        <v>0</v>
      </c>
      <c r="B4" s="285" t="s">
        <v>138</v>
      </c>
      <c r="C4" s="285" t="s">
        <v>0</v>
      </c>
      <c r="D4" s="294" t="s">
        <v>28</v>
      </c>
      <c r="E4" s="295" t="s">
        <v>65</v>
      </c>
      <c r="F4" s="294" t="s">
        <v>139</v>
      </c>
      <c r="G4" s="294" t="s">
        <v>77</v>
      </c>
      <c r="H4" s="294" t="s">
        <v>162</v>
      </c>
      <c r="I4" s="295" t="s">
        <v>140</v>
      </c>
      <c r="J4" s="366" t="s">
        <v>165</v>
      </c>
      <c r="K4" s="363" t="s">
        <v>223</v>
      </c>
      <c r="L4" s="296" t="s">
        <v>224</v>
      </c>
    </row>
    <row r="5" spans="1:15" ht="19.5" thickBot="1" x14ac:dyDescent="0.35">
      <c r="A5" s="297">
        <v>1</v>
      </c>
      <c r="B5" s="298" t="s">
        <v>21</v>
      </c>
      <c r="C5" s="299" t="s">
        <v>23</v>
      </c>
      <c r="D5" s="287" t="s">
        <v>354</v>
      </c>
      <c r="E5" s="299" t="s">
        <v>66</v>
      </c>
      <c r="F5" s="287">
        <f ca="1">RAND()</f>
        <v>0.14148223875036114</v>
      </c>
      <c r="G5" s="300">
        <f ca="1">RANK(F5,$F$5:$F$24)</f>
        <v>17</v>
      </c>
      <c r="H5" s="287" t="s">
        <v>143</v>
      </c>
      <c r="I5" s="301" t="str">
        <f ca="1">IF($H$1&gt;A4,", "&amp;VLOOKUP(A5,$G$5:$H$24,2,FALSE),"")</f>
        <v/>
      </c>
      <c r="J5" s="367" t="s">
        <v>166</v>
      </c>
      <c r="K5" s="364"/>
      <c r="L5" s="302"/>
    </row>
    <row r="6" spans="1:15" x14ac:dyDescent="0.3">
      <c r="A6" s="303">
        <v>2</v>
      </c>
      <c r="B6" s="304" t="s">
        <v>22</v>
      </c>
      <c r="C6" s="305" t="s">
        <v>3</v>
      </c>
      <c r="D6" s="306" t="s">
        <v>355</v>
      </c>
      <c r="E6" s="305" t="s">
        <v>67</v>
      </c>
      <c r="F6" s="306">
        <f t="shared" ref="F6:F24" ca="1" si="0">RAND()</f>
        <v>0.70127538616052276</v>
      </c>
      <c r="G6" s="307">
        <f t="shared" ref="G6:G24" ca="1" si="1">RANK(F6,$F$5:$F$24)</f>
        <v>7</v>
      </c>
      <c r="H6" s="306" t="s">
        <v>144</v>
      </c>
      <c r="I6" s="308" t="str">
        <f ca="1">IF($H$1&gt;A5,", "&amp;VLOOKUP(A6,$G$5:$H$24,2,FALSE),"")</f>
        <v/>
      </c>
      <c r="J6" s="368" t="s">
        <v>167</v>
      </c>
      <c r="K6" s="364">
        <v>10</v>
      </c>
      <c r="L6" s="302">
        <v>15</v>
      </c>
    </row>
    <row r="7" spans="1:15" ht="19.5" thickBot="1" x14ac:dyDescent="0.35">
      <c r="A7" s="309">
        <v>3</v>
      </c>
      <c r="B7" s="310"/>
      <c r="C7" s="287" t="s">
        <v>4</v>
      </c>
      <c r="D7" s="310"/>
      <c r="E7" s="310"/>
      <c r="F7" s="287">
        <f t="shared" ca="1" si="0"/>
        <v>0.85921404123301082</v>
      </c>
      <c r="G7" s="300">
        <f t="shared" ca="1" si="1"/>
        <v>1</v>
      </c>
      <c r="H7" s="287" t="s">
        <v>145</v>
      </c>
      <c r="I7" s="311" t="str">
        <f ca="1">IF($H$1&gt;A6,", "&amp;VLOOKUP(A7,$G$5:$H$24,2,FALSE),"")</f>
        <v/>
      </c>
      <c r="J7" s="369" t="s">
        <v>168</v>
      </c>
      <c r="K7" s="364">
        <v>11</v>
      </c>
      <c r="L7" s="302">
        <v>14</v>
      </c>
    </row>
    <row r="8" spans="1:15" x14ac:dyDescent="0.3">
      <c r="A8" s="313">
        <v>4</v>
      </c>
      <c r="B8" s="314"/>
      <c r="C8" s="314" t="s">
        <v>5</v>
      </c>
      <c r="D8" s="314"/>
      <c r="E8" s="314"/>
      <c r="F8" s="314">
        <f ca="1">IF(B1="DWARF",-1,0)+RAND()</f>
        <v>0.39675176434006187</v>
      </c>
      <c r="G8" s="302">
        <f t="shared" ca="1" si="1"/>
        <v>12</v>
      </c>
      <c r="H8" s="314" t="s">
        <v>146</v>
      </c>
      <c r="I8" s="286" t="str">
        <f ca="1">IF($H$1&gt;A7,", "&amp;VLOOKUP(A8,$G$5:$H$24,2,FALSE),"")</f>
        <v/>
      </c>
      <c r="J8" s="310"/>
      <c r="K8" s="302">
        <v>12</v>
      </c>
      <c r="L8" s="302">
        <v>13</v>
      </c>
    </row>
    <row r="9" spans="1:15" ht="18" x14ac:dyDescent="0.35">
      <c r="A9" s="315">
        <v>5</v>
      </c>
      <c r="B9" s="310"/>
      <c r="C9" s="316" t="s">
        <v>6</v>
      </c>
      <c r="D9" s="310"/>
      <c r="E9" s="310"/>
      <c r="F9" s="316">
        <f ca="1">IF(B1="ELF",-1,0)+RAND()</f>
        <v>0.67971698602835184</v>
      </c>
      <c r="G9" s="317">
        <f t="shared" ca="1" si="1"/>
        <v>9</v>
      </c>
      <c r="H9" s="316" t="s">
        <v>147</v>
      </c>
      <c r="I9" s="316"/>
      <c r="J9" s="310"/>
      <c r="K9" s="302">
        <v>13</v>
      </c>
      <c r="L9" s="302">
        <v>12</v>
      </c>
    </row>
    <row r="10" spans="1:15" ht="18" x14ac:dyDescent="0.35">
      <c r="A10" s="313">
        <v>6</v>
      </c>
      <c r="B10" s="310"/>
      <c r="C10" s="314" t="s">
        <v>7</v>
      </c>
      <c r="D10" s="310"/>
      <c r="E10" s="310"/>
      <c r="F10" s="314">
        <f t="shared" ca="1" si="0"/>
        <v>0.8043038702036267</v>
      </c>
      <c r="G10" s="302">
        <f t="shared" ca="1" si="1"/>
        <v>4</v>
      </c>
      <c r="H10" s="314" t="s">
        <v>148</v>
      </c>
      <c r="I10" s="314"/>
      <c r="J10" s="310"/>
      <c r="K10" s="302">
        <v>14</v>
      </c>
      <c r="L10" s="302">
        <v>11</v>
      </c>
    </row>
    <row r="11" spans="1:15" ht="18" x14ac:dyDescent="0.35">
      <c r="A11" s="313">
        <v>7</v>
      </c>
      <c r="B11" s="310"/>
      <c r="C11" s="314" t="s">
        <v>8</v>
      </c>
      <c r="D11" s="310"/>
      <c r="E11" s="310"/>
      <c r="F11" s="314">
        <f ca="1">IF(B1="ELF",-1,0)+RAND()</f>
        <v>0.34550033640721367</v>
      </c>
      <c r="G11" s="302">
        <f t="shared" ca="1" si="1"/>
        <v>13</v>
      </c>
      <c r="H11" s="314" t="s">
        <v>149</v>
      </c>
      <c r="I11" s="314"/>
      <c r="J11" s="310"/>
      <c r="K11" s="302">
        <v>15</v>
      </c>
      <c r="L11" s="302">
        <v>10</v>
      </c>
    </row>
    <row r="12" spans="1:15" ht="18" x14ac:dyDescent="0.35">
      <c r="A12" s="313">
        <v>8</v>
      </c>
      <c r="B12" s="310"/>
      <c r="C12" s="314" t="s">
        <v>9</v>
      </c>
      <c r="D12" s="310"/>
      <c r="E12" s="310"/>
      <c r="F12" s="314">
        <f ca="1">IF(B1="DWARF",-1,0)+RAND()</f>
        <v>0.588993140925268</v>
      </c>
      <c r="G12" s="302">
        <f t="shared" ca="1" si="1"/>
        <v>10</v>
      </c>
      <c r="H12" s="314" t="s">
        <v>150</v>
      </c>
      <c r="I12" s="314"/>
      <c r="J12" s="310"/>
      <c r="K12" s="302">
        <v>16</v>
      </c>
      <c r="L12" s="302">
        <v>9</v>
      </c>
    </row>
    <row r="13" spans="1:15" ht="18.600000000000001" thickBot="1" x14ac:dyDescent="0.4">
      <c r="A13" s="318">
        <v>9</v>
      </c>
      <c r="B13" s="319"/>
      <c r="C13" s="319"/>
      <c r="D13" s="319"/>
      <c r="E13" s="319"/>
      <c r="F13" s="320">
        <f ca="1">IF(B1="DWARF",-1,0)+RAND()</f>
        <v>0.68743765743432383</v>
      </c>
      <c r="G13" s="321">
        <f t="shared" ca="1" si="1"/>
        <v>8</v>
      </c>
      <c r="H13" s="320" t="s">
        <v>151</v>
      </c>
      <c r="I13" s="320"/>
      <c r="J13" s="319"/>
      <c r="K13" s="302">
        <v>17</v>
      </c>
      <c r="L13" s="302">
        <v>8</v>
      </c>
    </row>
    <row r="14" spans="1:15" ht="18" x14ac:dyDescent="0.35">
      <c r="A14" s="322">
        <v>10</v>
      </c>
      <c r="F14" s="316">
        <f ca="1">IF(B1="HALFLING",-1,0)+RAND()</f>
        <v>-5.88043432061226E-2</v>
      </c>
      <c r="G14" s="317">
        <f t="shared" ca="1" si="1"/>
        <v>20</v>
      </c>
      <c r="H14" s="316" t="s">
        <v>7</v>
      </c>
      <c r="I14" s="316"/>
      <c r="K14" s="302">
        <v>18</v>
      </c>
      <c r="L14" s="314"/>
    </row>
    <row r="15" spans="1:15" ht="18" x14ac:dyDescent="0.35">
      <c r="A15" s="323">
        <v>11</v>
      </c>
      <c r="F15" s="314">
        <f t="shared" ca="1" si="0"/>
        <v>0.77478978506814045</v>
      </c>
      <c r="G15" s="302">
        <f t="shared" ca="1" si="1"/>
        <v>5</v>
      </c>
      <c r="H15" s="314" t="s">
        <v>152</v>
      </c>
      <c r="I15" s="314"/>
      <c r="K15" s="302">
        <v>19</v>
      </c>
    </row>
    <row r="16" spans="1:15" ht="18" x14ac:dyDescent="0.35">
      <c r="A16" s="323">
        <v>12</v>
      </c>
      <c r="F16" s="314">
        <f ca="1">IF(B1="ELF",-1,0)+RAND()</f>
        <v>0.57162140737015121</v>
      </c>
      <c r="G16" s="302">
        <f t="shared" ca="1" si="1"/>
        <v>11</v>
      </c>
      <c r="H16" s="314" t="s">
        <v>153</v>
      </c>
      <c r="I16" s="314"/>
    </row>
    <row r="17" spans="1:11" ht="18" x14ac:dyDescent="0.35">
      <c r="A17" s="323">
        <v>13</v>
      </c>
      <c r="F17" s="314">
        <f ca="1">IF(B1="DWARF",-1,0)+RAND()</f>
        <v>0.82899008787160944</v>
      </c>
      <c r="G17" s="302">
        <f t="shared" ca="1" si="1"/>
        <v>2</v>
      </c>
      <c r="H17" s="314" t="s">
        <v>154</v>
      </c>
      <c r="I17" s="314"/>
    </row>
    <row r="18" spans="1:11" x14ac:dyDescent="0.3">
      <c r="A18" s="323">
        <v>14</v>
      </c>
      <c r="F18" s="314">
        <f t="shared" ca="1" si="0"/>
        <v>0.80456383722531666</v>
      </c>
      <c r="G18" s="302">
        <f t="shared" ca="1" si="1"/>
        <v>3</v>
      </c>
      <c r="H18" s="314" t="s">
        <v>155</v>
      </c>
      <c r="I18" s="314"/>
      <c r="J18" s="12" t="s">
        <v>3</v>
      </c>
      <c r="K18" s="60" t="s">
        <v>306</v>
      </c>
    </row>
    <row r="19" spans="1:11" x14ac:dyDescent="0.3">
      <c r="A19" s="323">
        <v>15</v>
      </c>
      <c r="F19" s="314">
        <f t="shared" ca="1" si="0"/>
        <v>0.16978424966276195</v>
      </c>
      <c r="G19" s="302">
        <f t="shared" ca="1" si="1"/>
        <v>16</v>
      </c>
      <c r="H19" s="314" t="s">
        <v>156</v>
      </c>
      <c r="I19" s="314"/>
      <c r="J19" s="1" t="s">
        <v>4</v>
      </c>
      <c r="K19" s="60" t="s">
        <v>307</v>
      </c>
    </row>
    <row r="20" spans="1:11" x14ac:dyDescent="0.3">
      <c r="A20" s="323">
        <v>16</v>
      </c>
      <c r="F20" s="314">
        <f t="shared" ca="1" si="0"/>
        <v>4.5483558763986798E-2</v>
      </c>
      <c r="G20" s="302">
        <f t="shared" ca="1" si="1"/>
        <v>19</v>
      </c>
      <c r="H20" s="314" t="s">
        <v>157</v>
      </c>
      <c r="I20" s="314"/>
      <c r="J20" s="1" t="s">
        <v>5</v>
      </c>
      <c r="K20" s="60" t="s">
        <v>308</v>
      </c>
    </row>
    <row r="21" spans="1:11" x14ac:dyDescent="0.3">
      <c r="A21" s="323">
        <v>17</v>
      </c>
      <c r="F21" s="314">
        <f t="shared" ca="1" si="0"/>
        <v>0.75540841087680932</v>
      </c>
      <c r="G21" s="302">
        <f t="shared" ca="1" si="1"/>
        <v>6</v>
      </c>
      <c r="H21" s="314" t="s">
        <v>158</v>
      </c>
      <c r="I21" s="314"/>
      <c r="J21" s="1" t="s">
        <v>6</v>
      </c>
      <c r="K21" s="60" t="s">
        <v>306</v>
      </c>
    </row>
    <row r="22" spans="1:11" x14ac:dyDescent="0.3">
      <c r="A22" s="323">
        <v>18</v>
      </c>
      <c r="F22" s="314">
        <f ca="1">IF(B1="ELF",-1,0)+RAND()</f>
        <v>9.6851678225118643E-2</v>
      </c>
      <c r="G22" s="302">
        <f t="shared" ca="1" si="1"/>
        <v>18</v>
      </c>
      <c r="H22" s="314" t="s">
        <v>159</v>
      </c>
      <c r="I22" s="314"/>
      <c r="J22" s="1" t="s">
        <v>7</v>
      </c>
      <c r="K22" s="193" t="s">
        <v>309</v>
      </c>
    </row>
    <row r="23" spans="1:11" x14ac:dyDescent="0.3">
      <c r="A23" s="297">
        <v>19</v>
      </c>
      <c r="F23" s="314">
        <f t="shared" ca="1" si="0"/>
        <v>0.21416220672549247</v>
      </c>
      <c r="G23" s="302">
        <f t="shared" ca="1" si="1"/>
        <v>15</v>
      </c>
      <c r="H23" s="314" t="s">
        <v>160</v>
      </c>
      <c r="I23" s="314"/>
      <c r="J23" s="1" t="s">
        <v>8</v>
      </c>
      <c r="K23" s="60" t="s">
        <v>306</v>
      </c>
    </row>
    <row r="24" spans="1:11" x14ac:dyDescent="0.3">
      <c r="A24" s="323">
        <v>20</v>
      </c>
      <c r="B24" s="314"/>
      <c r="C24" s="314"/>
      <c r="D24" s="314"/>
      <c r="E24" s="312"/>
      <c r="F24" s="314">
        <f t="shared" ca="1" si="0"/>
        <v>0.32342246803928076</v>
      </c>
      <c r="G24" s="302">
        <f t="shared" ca="1" si="1"/>
        <v>14</v>
      </c>
      <c r="H24" s="314" t="s">
        <v>161</v>
      </c>
      <c r="I24" s="314"/>
      <c r="J24" s="1" t="s">
        <v>9</v>
      </c>
      <c r="K24" s="60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CHARACTER SHEET</vt:lpstr>
      <vt:lpstr>USER TAB CUSTOM &amp; INSTRUCTIONS</vt:lpstr>
      <vt:lpstr>CREDITS</vt:lpstr>
      <vt:lpstr>ABILITIES</vt:lpstr>
      <vt:lpstr>EQUIPMENT</vt:lpstr>
      <vt:lpstr>CLASS</vt:lpstr>
      <vt:lpstr>SAVES</vt:lpstr>
      <vt:lpstr>VARIABLES</vt:lpstr>
      <vt:lpstr>SPELLS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Hafner</dc:creator>
  <cp:lastModifiedBy>J Hafner</cp:lastModifiedBy>
  <dcterms:created xsi:type="dcterms:W3CDTF">2020-04-11T04:10:50Z</dcterms:created>
  <dcterms:modified xsi:type="dcterms:W3CDTF">2020-04-12T20:35:45Z</dcterms:modified>
</cp:coreProperties>
</file>