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LOGSPOT\"/>
    </mc:Choice>
  </mc:AlternateContent>
  <bookViews>
    <workbookView xWindow="0" yWindow="0" windowWidth="10830" windowHeight="8880"/>
  </bookViews>
  <sheets>
    <sheet name="Main Page" sheetId="2" r:id="rId1"/>
    <sheet name="MIsc. Criteria" sheetId="3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4" i="3" l="1"/>
  <c r="K26" i="2" s="1"/>
  <c r="AJ8" i="3" l="1"/>
  <c r="AH8" i="3"/>
  <c r="AJ19" i="3" s="1"/>
  <c r="AJ4" i="3"/>
  <c r="AJ3" i="3"/>
  <c r="AJ2" i="3"/>
  <c r="Q3" i="3"/>
  <c r="M49" i="2"/>
  <c r="M48" i="2"/>
  <c r="AN18" i="3" l="1"/>
  <c r="AH9" i="3"/>
  <c r="AJ12" i="3"/>
  <c r="AJ14" i="3"/>
  <c r="AO16" i="3"/>
  <c r="AN17" i="3" s="1"/>
  <c r="AJ17" i="3" s="1"/>
  <c r="AK8" i="3"/>
  <c r="AL8" i="3" s="1"/>
  <c r="H59" i="2"/>
  <c r="H61" i="2" s="1"/>
  <c r="H51" i="2"/>
  <c r="H53" i="2" s="1"/>
  <c r="Z13" i="3"/>
  <c r="Y16" i="3"/>
  <c r="Z14" i="3" s="1"/>
  <c r="Z15" i="3" s="1"/>
  <c r="Z16" i="3" s="1"/>
  <c r="Z17" i="3" s="1"/>
  <c r="Z18" i="3" s="1"/>
  <c r="Z19" i="3" s="1"/>
  <c r="Z20" i="3" s="1"/>
  <c r="Z21" i="3" s="1"/>
  <c r="Z22" i="3" s="1"/>
  <c r="Z23" i="3" s="1"/>
  <c r="Z24" i="3" s="1"/>
  <c r="Z25" i="3" s="1"/>
  <c r="Z26" i="3" s="1"/>
  <c r="Z27" i="3" s="1"/>
  <c r="Z28" i="3" s="1"/>
  <c r="Z29" i="3" s="1"/>
  <c r="Z30" i="3" s="1"/>
  <c r="Z31" i="3" s="1"/>
  <c r="Z32" i="3" s="1"/>
  <c r="Z33" i="3" s="1"/>
  <c r="Z34" i="3" s="1"/>
  <c r="Z35" i="3" s="1"/>
  <c r="Z36" i="3" s="1"/>
  <c r="Z37" i="3" s="1"/>
  <c r="Z38" i="3" s="1"/>
  <c r="H44" i="2"/>
  <c r="W34" i="3"/>
  <c r="W35" i="3" s="1"/>
  <c r="W36" i="3" s="1"/>
  <c r="W37" i="3" s="1"/>
  <c r="W38" i="3" s="1"/>
  <c r="W39" i="3" s="1"/>
  <c r="W40" i="3" s="1"/>
  <c r="W41" i="3" s="1"/>
  <c r="W42" i="3" s="1"/>
  <c r="W43" i="3" s="1"/>
  <c r="W44" i="3" s="1"/>
  <c r="W45" i="3" s="1"/>
  <c r="W46" i="3" s="1"/>
  <c r="W47" i="3" s="1"/>
  <c r="W33" i="3"/>
  <c r="H40" i="2"/>
  <c r="V34" i="3"/>
  <c r="V35" i="3" s="1"/>
  <c r="V36" i="3" s="1"/>
  <c r="V37" i="3" s="1"/>
  <c r="V38" i="3" s="1"/>
  <c r="V39" i="3" s="1"/>
  <c r="V40" i="3" s="1"/>
  <c r="V41" i="3" s="1"/>
  <c r="V42" i="3" s="1"/>
  <c r="V43" i="3" s="1"/>
  <c r="V44" i="3" s="1"/>
  <c r="V45" i="3" s="1"/>
  <c r="V46" i="3" s="1"/>
  <c r="V47" i="3" s="1"/>
  <c r="V33" i="3"/>
  <c r="Q5" i="3"/>
  <c r="Q4" i="3"/>
  <c r="L3" i="3"/>
  <c r="M5" i="3"/>
  <c r="M4" i="3"/>
  <c r="M3" i="3"/>
  <c r="L6" i="3"/>
  <c r="L5" i="3"/>
  <c r="L4" i="3"/>
  <c r="J3" i="3"/>
  <c r="J7" i="3"/>
  <c r="J6" i="3"/>
  <c r="J5" i="3"/>
  <c r="J4" i="3"/>
  <c r="AM13" i="2"/>
  <c r="K39" i="2" s="1"/>
  <c r="AM12" i="2"/>
  <c r="K38" i="2" s="1"/>
  <c r="AM11" i="2"/>
  <c r="K37" i="2" s="1"/>
  <c r="AM10" i="2"/>
  <c r="K36" i="2" s="1"/>
  <c r="AM9" i="2"/>
  <c r="K35" i="2" s="1"/>
  <c r="AM8" i="2"/>
  <c r="K34" i="2" s="1"/>
  <c r="AM7" i="2"/>
  <c r="K33" i="2" s="1"/>
  <c r="AM6" i="2"/>
  <c r="K32" i="2" s="1"/>
  <c r="AM5" i="2"/>
  <c r="K31" i="2" s="1"/>
  <c r="AM4" i="2"/>
  <c r="K30" i="2" s="1"/>
  <c r="AM3" i="2"/>
  <c r="K29" i="2" s="1"/>
  <c r="K13" i="3"/>
  <c r="K12" i="3"/>
  <c r="N12" i="3" s="1"/>
  <c r="K11" i="3"/>
  <c r="K10" i="3"/>
  <c r="H28" i="2"/>
  <c r="L10" i="3" l="1"/>
  <c r="H13" i="3"/>
  <c r="P29" i="2" s="1"/>
  <c r="F13" i="3"/>
  <c r="N29" i="2" s="1"/>
  <c r="D13" i="3"/>
  <c r="L29" i="2" s="1"/>
  <c r="E13" i="3"/>
  <c r="M29" i="2" s="1"/>
  <c r="G13" i="3"/>
  <c r="O29" i="2" s="1"/>
  <c r="AL19" i="3"/>
  <c r="AL12" i="3"/>
  <c r="AL14" i="3"/>
  <c r="AL17" i="3"/>
  <c r="AJ18" i="3"/>
  <c r="AL18" i="3" s="1"/>
  <c r="AJ13" i="3"/>
  <c r="AL13" i="3" s="1"/>
  <c r="H45" i="2"/>
  <c r="L13" i="3"/>
  <c r="L12" i="3"/>
  <c r="L11" i="3"/>
  <c r="A27" i="2"/>
  <c r="M57" i="2" l="1"/>
  <c r="M53" i="2"/>
  <c r="M55" i="2"/>
  <c r="N37" i="2"/>
  <c r="N34" i="2"/>
  <c r="N30" i="2"/>
  <c r="N38" i="2"/>
  <c r="N35" i="2"/>
  <c r="N39" i="2"/>
  <c r="N31" i="2"/>
  <c r="N33" i="2"/>
  <c r="L39" i="2"/>
  <c r="L31" i="2"/>
  <c r="L37" i="2"/>
  <c r="L36" i="2"/>
  <c r="M36" i="2" s="1"/>
  <c r="N36" i="2" s="1"/>
  <c r="O36" i="2" s="1"/>
  <c r="P36" i="2" s="1"/>
  <c r="L34" i="2"/>
  <c r="L32" i="2"/>
  <c r="M32" i="2" s="1"/>
  <c r="N32" i="2" s="1"/>
  <c r="O32" i="2" s="1"/>
  <c r="P32" i="2" s="1"/>
  <c r="L30" i="2"/>
  <c r="L35" i="2"/>
  <c r="L33" i="2"/>
  <c r="L38" i="2"/>
  <c r="P34" i="2"/>
  <c r="P38" i="2"/>
  <c r="P30" i="2"/>
  <c r="P39" i="2"/>
  <c r="P33" i="2"/>
  <c r="P35" i="2"/>
  <c r="P37" i="2"/>
  <c r="P31" i="2"/>
  <c r="M33" i="2"/>
  <c r="M38" i="2"/>
  <c r="M30" i="2"/>
  <c r="M34" i="2"/>
  <c r="M35" i="2"/>
  <c r="M39" i="2"/>
  <c r="M31" i="2"/>
  <c r="M37" i="2"/>
  <c r="O34" i="2"/>
  <c r="O38" i="2"/>
  <c r="O30" i="2"/>
  <c r="O35" i="2"/>
  <c r="O39" i="2"/>
  <c r="O33" i="2"/>
  <c r="O37" i="2"/>
  <c r="O31" i="2"/>
  <c r="I21" i="2"/>
  <c r="I19" i="2"/>
  <c r="I17" i="2"/>
  <c r="I15" i="2"/>
  <c r="I13" i="2"/>
  <c r="I11" i="2"/>
  <c r="I9" i="2"/>
  <c r="I7" i="2"/>
  <c r="I5" i="2"/>
  <c r="I3" i="2"/>
  <c r="AI2" i="2"/>
  <c r="AH2" i="2"/>
  <c r="AG2" i="2"/>
  <c r="AF2" i="2"/>
  <c r="AE2" i="2"/>
  <c r="AD2" i="2"/>
  <c r="AC2" i="2"/>
  <c r="AB2" i="2"/>
  <c r="AA2" i="2"/>
  <c r="Z2" i="2"/>
  <c r="AI6" i="2"/>
  <c r="AI5" i="2"/>
  <c r="AI4" i="2"/>
  <c r="AI3" i="2"/>
  <c r="AH6" i="2"/>
  <c r="AH5" i="2"/>
  <c r="AH4" i="2"/>
  <c r="AH3" i="2"/>
  <c r="AG6" i="2"/>
  <c r="AG5" i="2"/>
  <c r="AG4" i="2"/>
  <c r="AG3" i="2"/>
  <c r="AF6" i="2"/>
  <c r="AF5" i="2"/>
  <c r="AF4" i="2"/>
  <c r="AF3" i="2"/>
  <c r="AE6" i="2"/>
  <c r="AE5" i="2"/>
  <c r="AE4" i="2"/>
  <c r="AE3" i="2"/>
  <c r="AD6" i="2"/>
  <c r="AD5" i="2"/>
  <c r="AD4" i="2"/>
  <c r="AD3" i="2"/>
  <c r="AC6" i="2"/>
  <c r="AC5" i="2"/>
  <c r="AC4" i="2"/>
  <c r="AC3" i="2"/>
  <c r="AB6" i="2"/>
  <c r="AB5" i="2"/>
  <c r="AB4" i="2"/>
  <c r="AB3" i="2"/>
  <c r="AA6" i="2"/>
  <c r="AA5" i="2"/>
  <c r="AA4" i="2"/>
  <c r="AA3" i="2"/>
  <c r="Z6" i="2"/>
  <c r="Z5" i="2"/>
  <c r="Z4" i="2"/>
  <c r="Z3" i="2"/>
  <c r="I23" i="2" l="1"/>
  <c r="C27" i="2" l="1"/>
  <c r="C28" i="2" s="1"/>
  <c r="C29" i="2" s="1"/>
  <c r="C30" i="2" s="1"/>
  <c r="G21" i="2"/>
  <c r="G19" i="2"/>
  <c r="G17" i="2"/>
  <c r="G15" i="2"/>
  <c r="G13" i="2"/>
  <c r="G11" i="2"/>
  <c r="G9" i="2"/>
  <c r="G7" i="2"/>
  <c r="G5" i="2"/>
  <c r="G3" i="2"/>
  <c r="C31" i="2" l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</calcChain>
</file>

<file path=xl/sharedStrings.xml><?xml version="1.0" encoding="utf-8"?>
<sst xmlns="http://schemas.openxmlformats.org/spreadsheetml/2006/main" count="260" uniqueCount="206">
  <si>
    <t>Base HD</t>
  </si>
  <si>
    <t>Saving Throws</t>
  </si>
  <si>
    <t>Unique Class Abilities</t>
  </si>
  <si>
    <t>Combat Table</t>
  </si>
  <si>
    <t>Racial Abilities</t>
  </si>
  <si>
    <t>Special Skills</t>
  </si>
  <si>
    <t>1. Magic User</t>
  </si>
  <si>
    <t>2. Mid Range</t>
  </si>
  <si>
    <t>3. Fighter</t>
  </si>
  <si>
    <t>1. Mediocre</t>
  </si>
  <si>
    <t>2. Fair</t>
  </si>
  <si>
    <t>3. Good</t>
  </si>
  <si>
    <t>4. Best</t>
  </si>
  <si>
    <t>1. None</t>
  </si>
  <si>
    <t>2. Few Spells</t>
  </si>
  <si>
    <t>3. Most Spells</t>
  </si>
  <si>
    <t>4. Full Range</t>
  </si>
  <si>
    <t>4. Major</t>
  </si>
  <si>
    <t>1. d4</t>
  </si>
  <si>
    <t>2. d6</t>
  </si>
  <si>
    <t>3. d8</t>
  </si>
  <si>
    <t>Weapon Permitted</t>
  </si>
  <si>
    <t>2. Few</t>
  </si>
  <si>
    <t>4. All</t>
  </si>
  <si>
    <t>Armor Permitted</t>
  </si>
  <si>
    <t>Magic-User Spells</t>
  </si>
  <si>
    <t>D&amp;D BECMI Class Features and Relative Values</t>
  </si>
  <si>
    <t>XP</t>
  </si>
  <si>
    <t>3. Most</t>
  </si>
  <si>
    <t>2. Some</t>
  </si>
  <si>
    <t>1. Natural only</t>
  </si>
  <si>
    <t>Class Features</t>
  </si>
  <si>
    <t xml:space="preserve"> Cleric Spells</t>
  </si>
  <si>
    <t>3. Significant</t>
  </si>
  <si>
    <t>2. Minor</t>
  </si>
  <si>
    <t>Self explanarory</t>
  </si>
  <si>
    <t>Such as thieving skills,  fighting maneuvers, weapon mastery, weapon proficiencies, and  other skills-base abilities likely to affect game play.</t>
  </si>
  <si>
    <t>Level Progression Table</t>
  </si>
  <si>
    <t>Levels</t>
  </si>
  <si>
    <t>Experience</t>
  </si>
  <si>
    <t>Type of Advancement</t>
  </si>
  <si>
    <t>Fast (Cleric)</t>
  </si>
  <si>
    <t>Slow (Magic-User)</t>
  </si>
  <si>
    <t>Advancement</t>
  </si>
  <si>
    <t xml:space="preserve"> Base Experience Total</t>
  </si>
  <si>
    <t>Avr. (Fighter, Thief)</t>
  </si>
  <si>
    <t>Alternate Intervals</t>
  </si>
  <si>
    <t>Other (Custom Class)</t>
  </si>
  <si>
    <t>Death</t>
  </si>
  <si>
    <t>Poison, Disease</t>
  </si>
  <si>
    <t>Device Magic</t>
  </si>
  <si>
    <t>Aimed Magic</t>
  </si>
  <si>
    <t>Classes &amp; Levels</t>
  </si>
  <si>
    <t>D/E/F/G/H</t>
  </si>
  <si>
    <t>C/M/T/HO</t>
  </si>
  <si>
    <t>MU</t>
  </si>
  <si>
    <t>1-2</t>
  </si>
  <si>
    <t>1-3</t>
  </si>
  <si>
    <t>1-4</t>
  </si>
  <si>
    <t>3-4</t>
  </si>
  <si>
    <t>3-6</t>
  </si>
  <si>
    <t>5-8</t>
  </si>
  <si>
    <t>5-7</t>
  </si>
  <si>
    <t>7-9</t>
  </si>
  <si>
    <t>9-12</t>
  </si>
  <si>
    <t>8-10</t>
  </si>
  <si>
    <t>10-12</t>
  </si>
  <si>
    <t>-</t>
  </si>
  <si>
    <t>11-13</t>
  </si>
  <si>
    <t>13-15</t>
  </si>
  <si>
    <t>13-16</t>
  </si>
  <si>
    <t>14-16</t>
  </si>
  <si>
    <t>16-18</t>
  </si>
  <si>
    <t>17-20</t>
  </si>
  <si>
    <t>19-21</t>
  </si>
  <si>
    <t>21-24</t>
  </si>
  <si>
    <t>22-24</t>
  </si>
  <si>
    <t>25-28</t>
  </si>
  <si>
    <t>29-32</t>
  </si>
  <si>
    <t>33+</t>
  </si>
  <si>
    <t>Saving Throw Parameters</t>
  </si>
  <si>
    <t>Character Class</t>
  </si>
  <si>
    <t>Area of Effect</t>
  </si>
  <si>
    <t>1. Dwarf</t>
  </si>
  <si>
    <t>4. Gnome</t>
  </si>
  <si>
    <t>5. Halfling</t>
  </si>
  <si>
    <t>7. Cleric</t>
  </si>
  <si>
    <t>6. Magic-User</t>
  </si>
  <si>
    <t>8. Mystic</t>
  </si>
  <si>
    <t>9. Thief</t>
  </si>
  <si>
    <t>10. Half-Orc</t>
  </si>
  <si>
    <t>2. Elf</t>
  </si>
  <si>
    <t>Custom Stats</t>
  </si>
  <si>
    <t>Better Save</t>
  </si>
  <si>
    <t>Worse Save</t>
  </si>
  <si>
    <t>Effectiveness</t>
  </si>
  <si>
    <t>Advancement Track</t>
  </si>
  <si>
    <t>------------&gt;  11. Custom Class</t>
  </si>
  <si>
    <r>
      <rPr>
        <i/>
        <sz val="11"/>
        <color theme="1"/>
        <rFont val="Calibri"/>
        <family val="2"/>
        <scheme val="minor"/>
      </rPr>
      <t xml:space="preserve">If none of the  advancement types are desirable, select </t>
    </r>
    <r>
      <rPr>
        <b/>
        <i/>
        <sz val="11"/>
        <color theme="1"/>
        <rFont val="Calibri"/>
        <family val="2"/>
        <scheme val="minor"/>
      </rPr>
      <t>Other</t>
    </r>
    <r>
      <rPr>
        <i/>
        <sz val="11"/>
        <color theme="1"/>
        <rFont val="Calibri"/>
        <family val="2"/>
        <scheme val="minor"/>
      </rPr>
      <t xml:space="preserve"> in the drop-down menu, and enter an alternate value into the red box, such as 110,000, 140,000, 200,000, etc.</t>
    </r>
  </si>
  <si>
    <t>Various Ref Tables &amp; Other Criteria. Don't mess with this.</t>
  </si>
  <si>
    <t>Saves' Effectiveness</t>
  </si>
  <si>
    <t>1+</t>
  </si>
  <si>
    <t>2+</t>
  </si>
  <si>
    <t>3+</t>
  </si>
  <si>
    <t>4+</t>
  </si>
  <si>
    <t>5+</t>
  </si>
  <si>
    <t>6+</t>
  </si>
  <si>
    <t>7+</t>
  </si>
  <si>
    <t>8+</t>
  </si>
  <si>
    <t>9+ to 10</t>
  </si>
  <si>
    <t>10+ to 11</t>
  </si>
  <si>
    <t>11+ to 12</t>
  </si>
  <si>
    <t>12+ to 13</t>
  </si>
  <si>
    <t>13+ to 14</t>
  </si>
  <si>
    <t>14+ to 15</t>
  </si>
  <si>
    <t>15+ to 16</t>
  </si>
  <si>
    <t>16+ to 19</t>
  </si>
  <si>
    <t>17+ to 18</t>
  </si>
  <si>
    <t>18+ to 19</t>
  </si>
  <si>
    <t>19+ to 20</t>
  </si>
  <si>
    <t>20+ to 21</t>
  </si>
  <si>
    <t>Under 1</t>
  </si>
  <si>
    <t>Rank</t>
  </si>
  <si>
    <t>HD</t>
  </si>
  <si>
    <t>BXP</t>
  </si>
  <si>
    <t>* XP</t>
  </si>
  <si>
    <t>Hit Dice</t>
  </si>
  <si>
    <t>Number of Asterisks</t>
  </si>
  <si>
    <t>Monster Experience Points</t>
  </si>
  <si>
    <t>Rank 2</t>
  </si>
  <si>
    <t># *</t>
  </si>
  <si>
    <t>Total Monster XP</t>
  </si>
  <si>
    <t>21+ to 22</t>
  </si>
  <si>
    <t>22+ to 23</t>
  </si>
  <si>
    <t>23+ to 24</t>
  </si>
  <si>
    <t>24+ to 25</t>
  </si>
  <si>
    <t>25+ to 26</t>
  </si>
  <si>
    <t>26+ to 27</t>
  </si>
  <si>
    <t>27+ to 28</t>
  </si>
  <si>
    <t>28+ to 29</t>
  </si>
  <si>
    <t>29+ to 30</t>
  </si>
  <si>
    <t>30+ to 31</t>
  </si>
  <si>
    <t>31+ to 32</t>
  </si>
  <si>
    <t>32+ to 33</t>
  </si>
  <si>
    <t>33+ to 34</t>
  </si>
  <si>
    <t>34+ to 35</t>
  </si>
  <si>
    <t>35+ to 36</t>
  </si>
  <si>
    <t>CONV</t>
  </si>
  <si>
    <t>Level Conversion 1-36 to 1-20</t>
  </si>
  <si>
    <t>Level</t>
  </si>
  <si>
    <t>Equivalent Level</t>
  </si>
  <si>
    <t>CONV2</t>
  </si>
  <si>
    <t>Level Conversion 1-20 to 1-36</t>
  </si>
  <si>
    <t>Lvl 10+</t>
  </si>
  <si>
    <t>Constitution Modifier</t>
  </si>
  <si>
    <t>CON Mod</t>
  </si>
  <si>
    <t>CON Rank</t>
  </si>
  <si>
    <t>Custom Class
Base HD</t>
  </si>
  <si>
    <t>Custom Class
Add'l  hp Lvl 10+</t>
  </si>
  <si>
    <t>Cust Lvl 10+</t>
  </si>
  <si>
    <t>Actual Level</t>
  </si>
  <si>
    <t>Class</t>
  </si>
  <si>
    <t>add'l hp at Lvl 10+</t>
  </si>
  <si>
    <t>Non Custom</t>
  </si>
  <si>
    <t>Total</t>
  </si>
  <si>
    <t>Con Mod</t>
  </si>
  <si>
    <t>Max</t>
  </si>
  <si>
    <t>Min</t>
  </si>
  <si>
    <t>Avr.</t>
  </si>
  <si>
    <t>Base hit points</t>
  </si>
  <si>
    <t>Total Hit Points</t>
  </si>
  <si>
    <t>Custom</t>
  </si>
  <si>
    <t>Min hit points</t>
  </si>
  <si>
    <t>Average hit points</t>
  </si>
  <si>
    <t>Max hit points</t>
  </si>
  <si>
    <t>Min/Max Hit Points</t>
  </si>
  <si>
    <t>Experience
Level</t>
  </si>
  <si>
    <r>
      <t xml:space="preserve">Discretionary Modifier </t>
    </r>
    <r>
      <rPr>
        <b/>
        <sz val="11"/>
        <color theme="9" tint="-0.499984740745262"/>
        <rFont val="Calibri"/>
        <family val="2"/>
        <scheme val="minor"/>
      </rPr>
      <t>+</t>
    </r>
    <r>
      <rPr>
        <b/>
        <sz val="11"/>
        <color theme="1"/>
        <rFont val="Calibri"/>
        <family val="2"/>
        <scheme val="minor"/>
      </rPr>
      <t>/</t>
    </r>
    <r>
      <rPr>
        <b/>
        <sz val="11"/>
        <color rgb="FFFF0000"/>
        <rFont val="Calibri"/>
        <family val="2"/>
        <scheme val="minor"/>
      </rPr>
      <t>-</t>
    </r>
  </si>
  <si>
    <t>Approximate Rankings</t>
  </si>
  <si>
    <t>Dwarf</t>
  </si>
  <si>
    <t>Elf</t>
  </si>
  <si>
    <t>Fighter</t>
  </si>
  <si>
    <t>Gnome</t>
  </si>
  <si>
    <t>Halfling</t>
  </si>
  <si>
    <t>Magic-User</t>
  </si>
  <si>
    <t>Cleric</t>
  </si>
  <si>
    <t>Mystic</t>
  </si>
  <si>
    <t>Half-Orc</t>
  </si>
  <si>
    <t>Thief</t>
  </si>
  <si>
    <t xml:space="preserve">Enter your Custom  Character Class Name Here: </t>
  </si>
  <si>
    <r>
      <t>Note:</t>
    </r>
    <r>
      <rPr>
        <i/>
        <sz val="11"/>
        <color theme="1"/>
        <rFont val="Calibri"/>
        <family val="2"/>
        <scheme val="minor"/>
      </rPr>
      <t xml:space="preserve"> Though "revised" demi-human levels are no longer limited, the above choices still apply Use </t>
    </r>
    <r>
      <rPr>
        <b/>
        <i/>
        <sz val="11"/>
        <color theme="1"/>
        <rFont val="Calibri"/>
        <family val="2"/>
        <scheme val="minor"/>
      </rPr>
      <t>Fast</t>
    </r>
    <r>
      <rPr>
        <i/>
        <sz val="11"/>
        <color theme="1"/>
        <rFont val="Calibri"/>
        <family val="2"/>
        <scheme val="minor"/>
      </rPr>
      <t xml:space="preserve"> for half-orc, </t>
    </r>
    <r>
      <rPr>
        <b/>
        <i/>
        <sz val="11"/>
        <color theme="1"/>
        <rFont val="Calibri"/>
        <family val="2"/>
        <scheme val="minor"/>
      </rPr>
      <t>Average</t>
    </r>
    <r>
      <rPr>
        <i/>
        <sz val="11"/>
        <color theme="1"/>
        <rFont val="Calibri"/>
        <family val="2"/>
        <scheme val="minor"/>
      </rPr>
      <t xml:space="preserve"> for dwarf, gnome, and halfling, and </t>
    </r>
    <r>
      <rPr>
        <b/>
        <i/>
        <sz val="11"/>
        <color theme="1"/>
        <rFont val="Calibri"/>
        <family val="2"/>
        <scheme val="minor"/>
      </rPr>
      <t>Slow</t>
    </r>
    <r>
      <rPr>
        <i/>
        <sz val="11"/>
        <color theme="1"/>
        <rFont val="Calibri"/>
        <family val="2"/>
        <scheme val="minor"/>
      </rPr>
      <t xml:space="preserve"> for elf.</t>
    </r>
  </si>
  <si>
    <t>Click here for the related article: Alternate Experience Levels</t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</si>
  <si>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 xml:space="preserve">To reflect features unaccounted for so far, enter a </t>
    </r>
    <r>
      <rPr>
        <i/>
        <u/>
        <sz val="11"/>
        <color theme="1"/>
        <rFont val="Calibri"/>
        <family val="2"/>
        <scheme val="minor"/>
      </rPr>
      <t>discretionary modifier</t>
    </r>
    <r>
      <rPr>
        <i/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theme="9" tint="-0.499984740745262"/>
        <rFont val="Calibri"/>
        <family val="2"/>
        <scheme val="minor"/>
      </rPr>
      <t>(plus</t>
    </r>
    <r>
      <rPr>
        <i/>
        <sz val="11"/>
        <color theme="1"/>
        <rFont val="Calibri"/>
        <family val="2"/>
        <scheme val="minor"/>
      </rPr>
      <t xml:space="preserve"> or </t>
    </r>
    <r>
      <rPr>
        <b/>
        <i/>
        <sz val="11"/>
        <color rgb="FFFF0000"/>
        <rFont val="Calibri"/>
        <family val="2"/>
        <scheme val="minor"/>
      </rPr>
      <t>minus</t>
    </r>
    <r>
      <rPr>
        <b/>
        <i/>
        <sz val="11"/>
        <rFont val="Calibri"/>
        <family val="2"/>
        <scheme val="minor"/>
      </rPr>
      <t>)</t>
    </r>
    <r>
      <rPr>
        <i/>
        <sz val="11"/>
        <color theme="1"/>
        <rFont val="Calibri"/>
        <family val="2"/>
        <scheme val="minor"/>
      </rPr>
      <t xml:space="preserve"> into the yellow box above to alter the class's base XP, such as +/-50, +/-100, etc. Else leave box empty.</t>
    </r>
  </si>
  <si>
    <r>
      <rPr>
        <b/>
        <sz val="11"/>
        <rFont val="Calibri"/>
        <family val="2"/>
        <scheme val="minor"/>
      </rPr>
      <t>Spreadsheet Design:</t>
    </r>
    <r>
      <rPr>
        <u/>
        <sz val="11"/>
        <color theme="10"/>
        <rFont val="Calibri"/>
        <family val="2"/>
        <scheme val="minor"/>
      </rPr>
      <t xml:space="preserve">
Bruce Heard</t>
    </r>
  </si>
  <si>
    <t>Special Thanks to:</t>
  </si>
  <si>
    <t>Erin Smale</t>
  </si>
  <si>
    <t>Timothy S. Brannan</t>
  </si>
  <si>
    <t>Guidelines for use with D&amp;D BECMI/RC</t>
  </si>
  <si>
    <r>
      <rPr>
        <b/>
        <i/>
        <sz val="10"/>
        <color theme="1"/>
        <rFont val="Calibri"/>
        <family val="2"/>
        <scheme val="minor"/>
      </rPr>
      <t>Mid Range</t>
    </r>
    <r>
      <rPr>
        <i/>
        <sz val="10"/>
        <color theme="1"/>
        <rFont val="Calibri"/>
        <family val="2"/>
        <scheme val="minor"/>
      </rPr>
      <t xml:space="preserve"> is for anything that doesn't use either  fighter or magc-user combat tables.</t>
    </r>
  </si>
  <si>
    <r>
      <t>Most Spells</t>
    </r>
    <r>
      <rPr>
        <i/>
        <sz val="10"/>
        <color theme="1"/>
        <rFont val="Calibri"/>
        <family val="2"/>
        <scheme val="minor"/>
      </rPr>
      <t xml:space="preserve"> suggests limitation to 5th level spells and fewer spells in general. </t>
    </r>
    <r>
      <rPr>
        <b/>
        <i/>
        <sz val="10"/>
        <color theme="1"/>
        <rFont val="Calibri"/>
        <family val="2"/>
        <scheme val="minor"/>
      </rPr>
      <t>Few Spells</t>
    </r>
    <r>
      <rPr>
        <i/>
        <sz val="10"/>
        <color theme="1"/>
        <rFont val="Calibri"/>
        <family val="2"/>
        <scheme val="minor"/>
      </rPr>
      <t xml:space="preserve"> suggests llimitation to 3rd level spells and much fewer spells.</t>
    </r>
  </si>
  <si>
    <r>
      <t>Most Spells</t>
    </r>
    <r>
      <rPr>
        <i/>
        <sz val="10"/>
        <color theme="1"/>
        <rFont val="Calibri"/>
        <family val="2"/>
        <scheme val="minor"/>
      </rPr>
      <t xml:space="preserve"> suggests limitation to 6th level spells and fewer spells in general. </t>
    </r>
    <r>
      <rPr>
        <b/>
        <i/>
        <sz val="10"/>
        <color theme="1"/>
        <rFont val="Calibri"/>
        <family val="2"/>
        <scheme val="minor"/>
      </rPr>
      <t>Few Spells</t>
    </r>
    <r>
      <rPr>
        <i/>
        <sz val="10"/>
        <color theme="1"/>
        <rFont val="Calibri"/>
        <family val="2"/>
        <scheme val="minor"/>
      </rPr>
      <t xml:space="preserve"> suggests llimitation to 3rd level spells and much fewer spells.</t>
    </r>
  </si>
  <si>
    <r>
      <t xml:space="preserve">Such as turning undead, backstab. </t>
    </r>
    <r>
      <rPr>
        <b/>
        <i/>
        <sz val="10"/>
        <color theme="1"/>
        <rFont val="Calibri"/>
        <family val="2"/>
        <scheme val="minor"/>
      </rPr>
      <t>Major</t>
    </r>
    <r>
      <rPr>
        <i/>
        <sz val="10"/>
        <color theme="1"/>
        <rFont val="Calibri"/>
        <family val="2"/>
        <scheme val="minor"/>
      </rPr>
      <t xml:space="preserve"> is for multiple such abilities driving the character class. </t>
    </r>
    <r>
      <rPr>
        <b/>
        <i/>
        <sz val="10"/>
        <color theme="1"/>
        <rFont val="Calibri"/>
        <family val="2"/>
        <scheme val="minor"/>
      </rPr>
      <t>Minor</t>
    </r>
    <r>
      <rPr>
        <i/>
        <sz val="10"/>
        <color theme="1"/>
        <rFont val="Calibri"/>
        <family val="2"/>
        <scheme val="minor"/>
      </rPr>
      <t xml:space="preserve"> is for a unique ability like a thief's reading scrolls.</t>
    </r>
  </si>
  <si>
    <r>
      <t xml:space="preserve">"Natural Only" would be for monster-like or characters limited to open-hand combat if any. </t>
    </r>
    <r>
      <rPr>
        <b/>
        <i/>
        <sz val="10"/>
        <color theme="1"/>
        <rFont val="Calibri"/>
        <family val="2"/>
        <scheme val="minor"/>
      </rPr>
      <t>Few</t>
    </r>
    <r>
      <rPr>
        <i/>
        <sz val="10"/>
        <color theme="1"/>
        <rFont val="Calibri"/>
        <family val="2"/>
        <scheme val="minor"/>
      </rPr>
      <t xml:space="preserve"> for magic-user, </t>
    </r>
    <r>
      <rPr>
        <b/>
        <i/>
        <sz val="10"/>
        <color theme="1"/>
        <rFont val="Calibri"/>
        <family val="2"/>
        <scheme val="minor"/>
      </rPr>
      <t>Most</t>
    </r>
    <r>
      <rPr>
        <i/>
        <sz val="10"/>
        <color theme="1"/>
        <rFont val="Calibri"/>
        <family val="2"/>
        <scheme val="minor"/>
      </rPr>
      <t xml:space="preserve"> for thief, halfling, dwarf, gnome.</t>
    </r>
  </si>
  <si>
    <r>
      <t>None</t>
    </r>
    <r>
      <rPr>
        <i/>
        <sz val="10"/>
        <color theme="1"/>
        <rFont val="Calibri"/>
        <family val="2"/>
        <scheme val="minor"/>
      </rPr>
      <t xml:space="preserve"> for magic-user, </t>
    </r>
    <r>
      <rPr>
        <b/>
        <i/>
        <sz val="10"/>
        <color theme="1"/>
        <rFont val="Calibri"/>
        <family val="2"/>
        <scheme val="minor"/>
      </rPr>
      <t>Some</t>
    </r>
    <r>
      <rPr>
        <i/>
        <sz val="10"/>
        <color theme="1"/>
        <rFont val="Calibri"/>
        <family val="2"/>
        <scheme val="minor"/>
      </rPr>
      <t xml:space="preserve"> for thief, </t>
    </r>
    <r>
      <rPr>
        <b/>
        <i/>
        <sz val="10"/>
        <color theme="1"/>
        <rFont val="Calibri"/>
        <family val="2"/>
        <scheme val="minor"/>
      </rPr>
      <t>Most</t>
    </r>
    <r>
      <rPr>
        <i/>
        <sz val="10"/>
        <color theme="1"/>
        <rFont val="Calibri"/>
        <family val="2"/>
        <scheme val="minor"/>
      </rPr>
      <t xml:space="preserve"> for dwarf and halfling, </t>
    </r>
    <r>
      <rPr>
        <b/>
        <i/>
        <sz val="10"/>
        <color theme="1"/>
        <rFont val="Calibri"/>
        <family val="2"/>
        <scheme val="minor"/>
      </rPr>
      <t>All</t>
    </r>
    <r>
      <rPr>
        <i/>
        <sz val="10"/>
        <color theme="1"/>
        <rFont val="Calibri"/>
        <family val="2"/>
        <scheme val="minor"/>
      </rPr>
      <t xml:space="preserve"> for elf and fighter (etc.)</t>
    </r>
  </si>
  <si>
    <r>
      <rPr>
        <i/>
        <sz val="11"/>
        <rFont val="Calibri"/>
        <family val="2"/>
        <scheme val="minor"/>
      </rPr>
      <t xml:space="preserve">This refers to revised saving throws. </t>
    </r>
    <r>
      <rPr>
        <b/>
        <i/>
        <u/>
        <sz val="11"/>
        <color theme="10"/>
        <rFont val="Calibri"/>
        <family val="2"/>
        <scheme val="minor"/>
      </rPr>
      <t>Click here</t>
    </r>
    <r>
      <rPr>
        <i/>
        <u/>
        <sz val="11"/>
        <color theme="10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>for the original article.</t>
    </r>
  </si>
  <si>
    <r>
      <rPr>
        <i/>
        <sz val="11"/>
        <rFont val="Calibri"/>
        <family val="2"/>
        <scheme val="minor"/>
      </rPr>
      <t xml:space="preserve">Resistance to dragon breaths, bonuses vs. giant, etc. </t>
    </r>
    <r>
      <rPr>
        <b/>
        <i/>
        <sz val="11"/>
        <rFont val="Calibri"/>
        <family val="2"/>
        <scheme val="minor"/>
      </rPr>
      <t>Significant</t>
    </r>
    <r>
      <rPr>
        <i/>
        <sz val="11"/>
        <rFont val="Calibri"/>
        <family val="2"/>
        <scheme val="minor"/>
      </rPr>
      <t xml:space="preserve"> applies to demi-humans in general. </t>
    </r>
    <r>
      <rPr>
        <b/>
        <i/>
        <sz val="11"/>
        <rFont val="Calibri"/>
        <family val="2"/>
        <scheme val="minor"/>
      </rPr>
      <t>Major</t>
    </r>
    <r>
      <rPr>
        <i/>
        <sz val="11"/>
        <rFont val="Calibri"/>
        <family val="2"/>
        <scheme val="minor"/>
      </rPr>
      <t xml:space="preserve"> applies to the optional</t>
    </r>
    <r>
      <rPr>
        <i/>
        <sz val="11"/>
        <color theme="10"/>
        <rFont val="Calibri"/>
        <family val="2"/>
        <scheme val="minor"/>
      </rPr>
      <t xml:space="preserve"> </t>
    </r>
    <r>
      <rPr>
        <b/>
        <i/>
        <u/>
        <sz val="11"/>
        <color theme="10"/>
        <rFont val="Calibri"/>
        <family val="2"/>
        <scheme val="minor"/>
      </rPr>
      <t>half-orc</t>
    </r>
    <r>
      <rPr>
        <i/>
        <sz val="11"/>
        <color theme="10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>class.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</si>
</sst>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color theme="9" tint="-0.499984740745262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i/>
      <u/>
      <sz val="11"/>
      <color theme="10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i/>
      <sz val="11"/>
      <color theme="10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EBEB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rgb="FFFFE3DD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6EBF6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auto="1"/>
      </right>
      <top style="medium">
        <color auto="1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 style="thin">
        <color theme="0" tint="-0.34998626667073579"/>
      </left>
      <right style="medium">
        <color auto="1"/>
      </right>
      <top style="thin">
        <color theme="0" tint="-0.34998626667073579"/>
      </top>
      <bottom style="medium">
        <color auto="1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theme="4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theme="4" tint="-0.499984740745262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theme="4" tint="-0.499984740745262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1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medium">
        <color indexed="64"/>
      </right>
      <top style="thin">
        <color theme="0" tint="-0.2499465926084170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30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" xfId="0" applyFont="1" applyFill="1" applyBorder="1"/>
    <xf numFmtId="0" fontId="2" fillId="0" borderId="2" xfId="0" applyFont="1" applyBorder="1"/>
    <xf numFmtId="0" fontId="2" fillId="2" borderId="2" xfId="0" applyFont="1" applyFill="1" applyBorder="1"/>
    <xf numFmtId="0" fontId="2" fillId="0" borderId="3" xfId="0" applyFont="1" applyBorder="1"/>
    <xf numFmtId="0" fontId="0" fillId="0" borderId="0" xfId="0" applyBorder="1"/>
    <xf numFmtId="0" fontId="2" fillId="2" borderId="7" xfId="0" applyFont="1" applyFill="1" applyBorder="1"/>
    <xf numFmtId="0" fontId="2" fillId="0" borderId="0" xfId="0" applyFont="1" applyBorder="1"/>
    <xf numFmtId="0" fontId="2" fillId="2" borderId="0" xfId="0" applyFont="1" applyFill="1" applyBorder="1"/>
    <xf numFmtId="0" fontId="2" fillId="0" borderId="15" xfId="0" applyFont="1" applyBorder="1"/>
    <xf numFmtId="0" fontId="2" fillId="2" borderId="4" xfId="0" applyFont="1" applyFill="1" applyBorder="1"/>
    <xf numFmtId="0" fontId="2" fillId="0" borderId="11" xfId="0" applyFont="1" applyBorder="1"/>
    <xf numFmtId="0" fontId="2" fillId="2" borderId="11" xfId="0" applyFont="1" applyFill="1" applyBorder="1"/>
    <xf numFmtId="0" fontId="2" fillId="0" borderId="16" xfId="0" applyFont="1" applyBorder="1"/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164" fontId="0" fillId="2" borderId="20" xfId="1" applyNumberFormat="1" applyFont="1" applyFill="1" applyBorder="1" applyAlignment="1">
      <alignment horizontal="right" vertical="center"/>
    </xf>
    <xf numFmtId="164" fontId="0" fillId="2" borderId="20" xfId="0" applyNumberForma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0" fontId="0" fillId="0" borderId="0" xfId="0" applyAlignment="1">
      <alignment horizontal="right"/>
    </xf>
    <xf numFmtId="0" fontId="0" fillId="0" borderId="15" xfId="0" applyBorder="1"/>
    <xf numFmtId="0" fontId="0" fillId="0" borderId="3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0" fillId="0" borderId="45" xfId="0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9" fillId="0" borderId="45" xfId="0" applyFont="1" applyBorder="1" applyAlignment="1">
      <alignment horizontal="center"/>
    </xf>
    <xf numFmtId="0" fontId="19" fillId="0" borderId="39" xfId="0" applyFont="1" applyBorder="1" applyAlignment="1">
      <alignment horizontal="center"/>
    </xf>
    <xf numFmtId="0" fontId="19" fillId="2" borderId="39" xfId="0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0" fontId="19" fillId="0" borderId="42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2" borderId="20" xfId="0" applyFont="1" applyFill="1" applyBorder="1" applyAlignment="1">
      <alignment horizontal="center"/>
    </xf>
    <xf numFmtId="0" fontId="19" fillId="2" borderId="6" xfId="0" applyFont="1" applyFill="1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0" borderId="0" xfId="0" applyFill="1" applyBorder="1"/>
    <xf numFmtId="0" fontId="0" fillId="0" borderId="15" xfId="0" applyFill="1" applyBorder="1"/>
    <xf numFmtId="0" fontId="0" fillId="9" borderId="0" xfId="0" applyFill="1" applyBorder="1"/>
    <xf numFmtId="0" fontId="0" fillId="9" borderId="15" xfId="0" applyFill="1" applyBorder="1"/>
    <xf numFmtId="0" fontId="0" fillId="9" borderId="11" xfId="0" applyFill="1" applyBorder="1"/>
    <xf numFmtId="0" fontId="0" fillId="9" borderId="16" xfId="0" applyFill="1" applyBorder="1"/>
    <xf numFmtId="0" fontId="0" fillId="0" borderId="15" xfId="0" applyBorder="1" applyAlignment="1">
      <alignment horizontal="center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0" fillId="9" borderId="0" xfId="0" applyFill="1" applyBorder="1" applyProtection="1">
      <protection locked="0"/>
    </xf>
    <xf numFmtId="0" fontId="0" fillId="0" borderId="42" xfId="0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0" borderId="20" xfId="0" applyFill="1" applyBorder="1" applyAlignment="1" applyProtection="1">
      <alignment horizontal="center"/>
      <protection locked="0"/>
    </xf>
    <xf numFmtId="0" fontId="0" fillId="0" borderId="20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9" borderId="0" xfId="0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0" fontId="21" fillId="0" borderId="0" xfId="0" applyFont="1" applyAlignment="1" applyProtection="1">
      <alignment horizontal="right"/>
    </xf>
    <xf numFmtId="0" fontId="0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Alignment="1" applyProtection="1">
      <alignment horizontal="right"/>
    </xf>
    <xf numFmtId="0" fontId="22" fillId="0" borderId="0" xfId="0" applyFont="1" applyProtection="1"/>
    <xf numFmtId="0" fontId="24" fillId="0" borderId="0" xfId="0" applyFont="1" applyAlignment="1" applyProtection="1">
      <alignment horizontal="right"/>
    </xf>
    <xf numFmtId="0" fontId="24" fillId="0" borderId="0" xfId="0" applyFont="1" applyProtection="1"/>
    <xf numFmtId="0" fontId="21" fillId="0" borderId="0" xfId="0" quotePrefix="1" applyFont="1" applyAlignment="1" applyProtection="1">
      <alignment horizontal="right"/>
    </xf>
    <xf numFmtId="1" fontId="0" fillId="0" borderId="0" xfId="0" applyNumberFormat="1" applyAlignment="1" applyProtection="1">
      <alignment horizontal="center"/>
    </xf>
    <xf numFmtId="0" fontId="21" fillId="0" borderId="0" xfId="0" applyFont="1" applyAlignment="1" applyProtection="1">
      <alignment horizontal="left"/>
    </xf>
    <xf numFmtId="0" fontId="12" fillId="6" borderId="17" xfId="0" applyFont="1" applyFill="1" applyBorder="1" applyAlignment="1" applyProtection="1">
      <alignment horizontal="center"/>
    </xf>
    <xf numFmtId="0" fontId="17" fillId="0" borderId="40" xfId="0" applyFont="1" applyBorder="1" applyAlignment="1" applyProtection="1">
      <alignment horizontal="center"/>
    </xf>
    <xf numFmtId="0" fontId="17" fillId="5" borderId="40" xfId="0" applyFont="1" applyFill="1" applyBorder="1" applyAlignment="1" applyProtection="1">
      <alignment horizontal="center"/>
    </xf>
    <xf numFmtId="0" fontId="17" fillId="0" borderId="18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0" xfId="0" applyFont="1" applyProtection="1"/>
    <xf numFmtId="0" fontId="23" fillId="0" borderId="0" xfId="0" applyFont="1" applyProtection="1"/>
    <xf numFmtId="0" fontId="14" fillId="6" borderId="4" xfId="0" applyFont="1" applyFill="1" applyBorder="1" applyAlignment="1" applyProtection="1">
      <alignment horizontal="center"/>
    </xf>
    <xf numFmtId="49" fontId="15" fillId="0" borderId="11" xfId="0" applyNumberFormat="1" applyFont="1" applyFill="1" applyBorder="1" applyAlignment="1" applyProtection="1">
      <alignment horizontal="center"/>
    </xf>
    <xf numFmtId="0" fontId="14" fillId="6" borderId="11" xfId="0" applyFont="1" applyFill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/>
    </xf>
    <xf numFmtId="0" fontId="0" fillId="0" borderId="39" xfId="0" applyBorder="1" applyAlignment="1" applyProtection="1">
      <alignment horizontal="center"/>
    </xf>
    <xf numFmtId="0" fontId="0" fillId="5" borderId="39" xfId="0" applyFill="1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49" fontId="16" fillId="0" borderId="22" xfId="0" applyNumberFormat="1" applyFont="1" applyBorder="1" applyAlignment="1" applyProtection="1">
      <alignment horizontal="center" vertical="center"/>
    </xf>
    <xf numFmtId="49" fontId="2" fillId="0" borderId="23" xfId="0" applyNumberFormat="1" applyFont="1" applyBorder="1" applyAlignment="1" applyProtection="1">
      <alignment horizontal="center" vertical="center"/>
    </xf>
    <xf numFmtId="49" fontId="16" fillId="0" borderId="24" xfId="0" applyNumberFormat="1" applyFont="1" applyBorder="1" applyAlignment="1" applyProtection="1">
      <alignment horizontal="center" vertical="center"/>
    </xf>
    <xf numFmtId="0" fontId="12" fillId="6" borderId="19" xfId="0" applyFont="1" applyFill="1" applyBorder="1" applyAlignment="1" applyProtection="1">
      <alignment horizontal="center"/>
    </xf>
    <xf numFmtId="0" fontId="17" fillId="0" borderId="39" xfId="0" applyFont="1" applyBorder="1" applyAlignment="1" applyProtection="1">
      <alignment horizontal="center"/>
    </xf>
    <xf numFmtId="0" fontId="17" fillId="5" borderId="39" xfId="0" applyFont="1" applyFill="1" applyBorder="1" applyAlignment="1" applyProtection="1">
      <alignment horizontal="center"/>
    </xf>
    <xf numFmtId="0" fontId="17" fillId="0" borderId="20" xfId="0" applyFont="1" applyBorder="1" applyAlignment="1" applyProtection="1">
      <alignment horizontal="center"/>
    </xf>
    <xf numFmtId="49" fontId="16" fillId="0" borderId="28" xfId="0" applyNumberFormat="1" applyFont="1" applyBorder="1" applyAlignment="1" applyProtection="1">
      <alignment horizontal="center" vertical="center"/>
    </xf>
    <xf numFmtId="49" fontId="2" fillId="0" borderId="29" xfId="0" applyNumberFormat="1" applyFont="1" applyBorder="1" applyAlignment="1" applyProtection="1">
      <alignment horizontal="center" vertical="center"/>
    </xf>
    <xf numFmtId="49" fontId="16" fillId="0" borderId="30" xfId="0" applyNumberFormat="1" applyFont="1" applyBorder="1" applyAlignment="1" applyProtection="1">
      <alignment horizontal="center" vertical="center"/>
    </xf>
    <xf numFmtId="49" fontId="16" fillId="5" borderId="28" xfId="0" applyNumberFormat="1" applyFont="1" applyFill="1" applyBorder="1" applyAlignment="1" applyProtection="1">
      <alignment horizontal="center" vertical="center"/>
    </xf>
    <xf numFmtId="49" fontId="2" fillId="5" borderId="29" xfId="0" applyNumberFormat="1" applyFont="1" applyFill="1" applyBorder="1" applyAlignment="1" applyProtection="1">
      <alignment horizontal="center" vertical="center"/>
    </xf>
    <xf numFmtId="49" fontId="16" fillId="5" borderId="30" xfId="0" applyNumberFormat="1" applyFont="1" applyFill="1" applyBorder="1" applyAlignment="1" applyProtection="1">
      <alignment horizontal="center" vertical="center"/>
    </xf>
    <xf numFmtId="49" fontId="16" fillId="0" borderId="30" xfId="0" quotePrefix="1" applyNumberFormat="1" applyFont="1" applyBorder="1" applyAlignment="1" applyProtection="1">
      <alignment horizontal="center" vertical="center"/>
    </xf>
    <xf numFmtId="3" fontId="0" fillId="0" borderId="0" xfId="0" applyNumberFormat="1" applyAlignment="1" applyProtection="1">
      <alignment horizontal="center"/>
    </xf>
    <xf numFmtId="0" fontId="2" fillId="0" borderId="21" xfId="0" applyFont="1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5" borderId="5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49" fontId="16" fillId="0" borderId="25" xfId="0" applyNumberFormat="1" applyFont="1" applyBorder="1" applyAlignment="1" applyProtection="1">
      <alignment horizontal="center" vertical="center"/>
    </xf>
    <xf numFmtId="49" fontId="2" fillId="0" borderId="26" xfId="0" applyNumberFormat="1" applyFont="1" applyBorder="1" applyAlignment="1" applyProtection="1">
      <alignment horizontal="center" vertical="center"/>
    </xf>
    <xf numFmtId="49" fontId="16" fillId="0" borderId="27" xfId="0" applyNumberFormat="1" applyFont="1" applyBorder="1" applyAlignment="1" applyProtection="1">
      <alignment horizontal="center" vertical="center"/>
    </xf>
    <xf numFmtId="165" fontId="0" fillId="0" borderId="0" xfId="1" applyNumberFormat="1" applyFont="1" applyProtection="1"/>
    <xf numFmtId="0" fontId="0" fillId="2" borderId="59" xfId="0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5" fillId="0" borderId="0" xfId="2" applyAlignment="1">
      <alignment vertical="center"/>
    </xf>
    <xf numFmtId="0" fontId="25" fillId="0" borderId="7" xfId="2" applyBorder="1" applyAlignment="1">
      <alignment vertical="center"/>
    </xf>
    <xf numFmtId="0" fontId="0" fillId="11" borderId="0" xfId="0" applyFill="1" applyBorder="1" applyProtection="1"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2" fillId="0" borderId="52" xfId="0" applyFont="1" applyBorder="1" applyAlignment="1">
      <alignment horizontal="center" wrapText="1"/>
    </xf>
    <xf numFmtId="0" fontId="2" fillId="0" borderId="53" xfId="0" applyFont="1" applyBorder="1" applyAlignment="1">
      <alignment horizontal="center" wrapText="1"/>
    </xf>
    <xf numFmtId="0" fontId="2" fillId="0" borderId="51" xfId="0" applyFont="1" applyBorder="1" applyAlignment="1">
      <alignment horizontal="center" wrapText="1"/>
    </xf>
    <xf numFmtId="0" fontId="2" fillId="0" borderId="55" xfId="0" applyFont="1" applyBorder="1" applyAlignment="1">
      <alignment horizontal="center" wrapText="1"/>
    </xf>
    <xf numFmtId="0" fontId="2" fillId="0" borderId="53" xfId="0" applyFont="1" applyBorder="1" applyAlignment="1" applyProtection="1">
      <alignment horizontal="center" vertical="center"/>
      <protection locked="0"/>
    </xf>
    <xf numFmtId="0" fontId="2" fillId="0" borderId="54" xfId="0" applyFont="1" applyBorder="1" applyAlignment="1" applyProtection="1">
      <alignment horizontal="center" vertical="center"/>
      <protection locked="0"/>
    </xf>
    <xf numFmtId="0" fontId="2" fillId="0" borderId="55" xfId="0" applyFont="1" applyBorder="1" applyAlignment="1" applyProtection="1">
      <alignment horizontal="center" vertical="center"/>
      <protection locked="0"/>
    </xf>
    <xf numFmtId="0" fontId="2" fillId="0" borderId="56" xfId="0" applyFont="1" applyBorder="1" applyAlignment="1" applyProtection="1">
      <alignment horizontal="center" vertical="center"/>
      <protection locked="0"/>
    </xf>
    <xf numFmtId="0" fontId="12" fillId="7" borderId="4" xfId="0" applyFont="1" applyFill="1" applyBorder="1" applyAlignment="1">
      <alignment horizontal="center"/>
    </xf>
    <xf numFmtId="0" fontId="12" fillId="7" borderId="11" xfId="0" applyFont="1" applyFill="1" applyBorder="1" applyAlignment="1">
      <alignment horizontal="center"/>
    </xf>
    <xf numFmtId="0" fontId="12" fillId="7" borderId="16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9" borderId="0" xfId="0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/>
    </xf>
    <xf numFmtId="0" fontId="22" fillId="0" borderId="33" xfId="0" applyFont="1" applyBorder="1" applyAlignment="1">
      <alignment horizontal="left" vertical="center" wrapText="1"/>
    </xf>
    <xf numFmtId="0" fontId="22" fillId="0" borderId="34" xfId="0" applyFont="1" applyBorder="1" applyAlignment="1">
      <alignment horizontal="left" vertical="center" wrapText="1"/>
    </xf>
    <xf numFmtId="0" fontId="22" fillId="0" borderId="35" xfId="0" applyFont="1" applyBorder="1" applyAlignment="1">
      <alignment horizontal="left" vertical="center" wrapText="1"/>
    </xf>
    <xf numFmtId="0" fontId="30" fillId="0" borderId="33" xfId="2" applyFont="1" applyBorder="1" applyAlignment="1" applyProtection="1">
      <alignment horizontal="left" vertical="center" wrapText="1"/>
      <protection locked="0"/>
    </xf>
    <xf numFmtId="0" fontId="25" fillId="0" borderId="34" xfId="2" applyBorder="1" applyAlignment="1" applyProtection="1">
      <alignment horizontal="left" vertical="center" wrapText="1"/>
      <protection locked="0"/>
    </xf>
    <xf numFmtId="0" fontId="25" fillId="0" borderId="35" xfId="2" applyBorder="1" applyAlignment="1" applyProtection="1">
      <alignment horizontal="left" vertical="center" wrapText="1"/>
      <protection locked="0"/>
    </xf>
    <xf numFmtId="0" fontId="25" fillId="0" borderId="33" xfId="2" applyBorder="1" applyAlignment="1" applyProtection="1">
      <alignment horizontal="left" vertical="center" wrapText="1"/>
      <protection locked="0"/>
    </xf>
    <xf numFmtId="0" fontId="27" fillId="0" borderId="33" xfId="0" applyFont="1" applyBorder="1" applyAlignment="1">
      <alignment horizontal="left" vertical="center" wrapText="1"/>
    </xf>
    <xf numFmtId="0" fontId="27" fillId="0" borderId="34" xfId="0" applyFont="1" applyBorder="1" applyAlignment="1">
      <alignment horizontal="left" vertical="center" wrapText="1"/>
    </xf>
    <xf numFmtId="0" fontId="27" fillId="0" borderId="35" xfId="0" applyFont="1" applyBorder="1" applyAlignment="1">
      <alignment horizontal="left" vertical="center" wrapText="1"/>
    </xf>
    <xf numFmtId="0" fontId="27" fillId="0" borderId="33" xfId="0" applyFont="1" applyBorder="1" applyAlignment="1">
      <alignment vertical="center" wrapText="1"/>
    </xf>
    <xf numFmtId="0" fontId="27" fillId="0" borderId="34" xfId="0" applyFont="1" applyBorder="1" applyAlignment="1">
      <alignment vertical="center" wrapText="1"/>
    </xf>
    <xf numFmtId="0" fontId="27" fillId="0" borderId="3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37" xfId="0" applyFont="1" applyBorder="1" applyAlignment="1">
      <alignment vertical="center" wrapText="1"/>
    </xf>
    <xf numFmtId="0" fontId="27" fillId="0" borderId="38" xfId="0" applyFont="1" applyBorder="1" applyAlignment="1">
      <alignment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2" fillId="7" borderId="46" xfId="0" applyFont="1" applyFill="1" applyBorder="1" applyAlignment="1">
      <alignment horizontal="center"/>
    </xf>
    <xf numFmtId="0" fontId="12" fillId="7" borderId="47" xfId="0" applyFont="1" applyFill="1" applyBorder="1" applyAlignment="1">
      <alignment horizontal="center"/>
    </xf>
    <xf numFmtId="0" fontId="12" fillId="7" borderId="48" xfId="0" applyFont="1" applyFill="1" applyBorder="1" applyAlignment="1">
      <alignment horizontal="center"/>
    </xf>
    <xf numFmtId="0" fontId="12" fillId="7" borderId="45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 wrapText="1"/>
    </xf>
    <xf numFmtId="0" fontId="12" fillId="7" borderId="42" xfId="0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right" vertical="center" wrapText="1"/>
    </xf>
    <xf numFmtId="0" fontId="2" fillId="0" borderId="19" xfId="0" applyFont="1" applyFill="1" applyBorder="1" applyAlignment="1">
      <alignment horizontal="right" vertical="center" wrapText="1"/>
    </xf>
    <xf numFmtId="0" fontId="12" fillId="7" borderId="43" xfId="0" applyFont="1" applyFill="1" applyBorder="1" applyAlignment="1">
      <alignment horizontal="center" vertical="center"/>
    </xf>
    <xf numFmtId="0" fontId="12" fillId="7" borderId="44" xfId="0" applyFont="1" applyFill="1" applyBorder="1" applyAlignment="1">
      <alignment horizontal="center" vertical="center"/>
    </xf>
    <xf numFmtId="37" fontId="2" fillId="8" borderId="2" xfId="1" applyNumberFormat="1" applyFont="1" applyFill="1" applyBorder="1" applyAlignment="1" applyProtection="1">
      <alignment horizontal="center" vertical="center"/>
      <protection locked="0"/>
    </xf>
    <xf numFmtId="37" fontId="2" fillId="8" borderId="3" xfId="1" applyNumberFormat="1" applyFont="1" applyFill="1" applyBorder="1" applyAlignment="1" applyProtection="1">
      <alignment horizontal="center" vertical="center"/>
      <protection locked="0"/>
    </xf>
    <xf numFmtId="37" fontId="2" fillId="8" borderId="11" xfId="1" applyNumberFormat="1" applyFont="1" applyFill="1" applyBorder="1" applyAlignment="1" applyProtection="1">
      <alignment horizontal="center" vertical="center"/>
      <protection locked="0"/>
    </xf>
    <xf numFmtId="37" fontId="2" fillId="8" borderId="16" xfId="1" applyNumberFormat="1" applyFont="1" applyFill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37" fontId="2" fillId="3" borderId="1" xfId="1" applyNumberFormat="1" applyFont="1" applyFill="1" applyBorder="1" applyAlignment="1" applyProtection="1">
      <alignment horizontal="center" vertical="center"/>
      <protection locked="0"/>
    </xf>
    <xf numFmtId="37" fontId="2" fillId="3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4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/>
    </xf>
    <xf numFmtId="0" fontId="12" fillId="7" borderId="14" xfId="0" applyFont="1" applyFill="1" applyBorder="1" applyAlignment="1">
      <alignment horizontal="center"/>
    </xf>
    <xf numFmtId="0" fontId="2" fillId="2" borderId="49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37" fontId="2" fillId="0" borderId="20" xfId="1" applyNumberFormat="1" applyFont="1" applyBorder="1" applyAlignment="1">
      <alignment horizontal="center" vertical="center"/>
    </xf>
    <xf numFmtId="37" fontId="2" fillId="0" borderId="6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5" fillId="0" borderId="7" xfId="2" applyBorder="1" applyAlignment="1" applyProtection="1">
      <alignment horizontal="center" vertical="center" wrapText="1"/>
      <protection locked="0"/>
    </xf>
    <xf numFmtId="0" fontId="25" fillId="0" borderId="0" xfId="2" applyBorder="1" applyAlignment="1" applyProtection="1">
      <alignment horizontal="center" vertical="center" wrapText="1"/>
      <protection locked="0"/>
    </xf>
    <xf numFmtId="0" fontId="25" fillId="0" borderId="15" xfId="2" applyBorder="1" applyAlignment="1" applyProtection="1">
      <alignment horizontal="center" vertical="center" wrapText="1"/>
      <protection locked="0"/>
    </xf>
    <xf numFmtId="0" fontId="26" fillId="0" borderId="7" xfId="2" applyFont="1" applyBorder="1" applyAlignment="1">
      <alignment horizontal="center"/>
    </xf>
    <xf numFmtId="0" fontId="25" fillId="0" borderId="0" xfId="2" applyBorder="1" applyAlignment="1">
      <alignment horizontal="center"/>
    </xf>
    <xf numFmtId="0" fontId="25" fillId="0" borderId="7" xfId="2" applyBorder="1" applyAlignment="1">
      <alignment horizontal="center"/>
    </xf>
    <xf numFmtId="0" fontId="25" fillId="0" borderId="7" xfId="2" applyBorder="1" applyAlignment="1" applyProtection="1">
      <alignment horizontal="center" vertical="center"/>
      <protection locked="0"/>
    </xf>
    <xf numFmtId="0" fontId="25" fillId="0" borderId="0" xfId="2" applyBorder="1" applyAlignment="1" applyProtection="1">
      <alignment horizontal="center" vertical="center"/>
      <protection locked="0"/>
    </xf>
    <xf numFmtId="0" fontId="25" fillId="0" borderId="15" xfId="2" applyBorder="1" applyAlignment="1" applyProtection="1">
      <alignment horizontal="center" vertical="center"/>
      <protection locked="0"/>
    </xf>
    <xf numFmtId="0" fontId="25" fillId="0" borderId="7" xfId="2" applyBorder="1" applyAlignment="1" applyProtection="1">
      <alignment horizontal="center" vertical="top"/>
      <protection locked="0"/>
    </xf>
    <xf numFmtId="0" fontId="25" fillId="0" borderId="0" xfId="2" applyBorder="1" applyAlignment="1" applyProtection="1">
      <alignment horizontal="center" vertical="top"/>
      <protection locked="0"/>
    </xf>
    <xf numFmtId="0" fontId="25" fillId="0" borderId="15" xfId="2" applyBorder="1" applyAlignment="1" applyProtection="1">
      <alignment horizontal="center" vertical="top"/>
      <protection locked="0"/>
    </xf>
    <xf numFmtId="164" fontId="5" fillId="0" borderId="0" xfId="1" applyNumberFormat="1" applyFont="1" applyBorder="1" applyAlignment="1">
      <alignment horizontal="right" vertical="center"/>
    </xf>
    <xf numFmtId="164" fontId="5" fillId="0" borderId="11" xfId="1" applyNumberFormat="1" applyFont="1" applyBorder="1" applyAlignment="1">
      <alignment horizontal="right" vertical="center"/>
    </xf>
    <xf numFmtId="0" fontId="12" fillId="7" borderId="17" xfId="0" applyFont="1" applyFill="1" applyBorder="1" applyAlignment="1">
      <alignment horizontal="center" vertical="center"/>
    </xf>
    <xf numFmtId="0" fontId="12" fillId="7" borderId="18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11" borderId="7" xfId="0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9" borderId="0" xfId="0" applyFill="1" applyBorder="1" applyAlignment="1">
      <alignment horizontal="center" vertical="center"/>
    </xf>
    <xf numFmtId="0" fontId="22" fillId="0" borderId="50" xfId="0" applyFont="1" applyBorder="1" applyAlignment="1">
      <alignment horizontal="left" vertical="center" wrapText="1"/>
    </xf>
    <xf numFmtId="0" fontId="22" fillId="0" borderId="57" xfId="0" applyFont="1" applyBorder="1" applyAlignment="1">
      <alignment horizontal="left" vertical="center" wrapText="1"/>
    </xf>
    <xf numFmtId="0" fontId="22" fillId="0" borderId="58" xfId="0" applyFont="1" applyBorder="1" applyAlignment="1">
      <alignment horizontal="left" vertical="center" wrapText="1"/>
    </xf>
    <xf numFmtId="0" fontId="0" fillId="11" borderId="0" xfId="0" applyFill="1" applyBorder="1" applyAlignment="1">
      <alignment horizontal="center" vertical="center"/>
    </xf>
    <xf numFmtId="0" fontId="2" fillId="9" borderId="7" xfId="0" applyFont="1" applyFill="1" applyBorder="1" applyAlignment="1">
      <alignment horizontal="right" vertical="center"/>
    </xf>
    <xf numFmtId="0" fontId="2" fillId="2" borderId="51" xfId="0" applyFont="1" applyFill="1" applyBorder="1" applyAlignment="1">
      <alignment horizontal="center" vertical="center"/>
    </xf>
    <xf numFmtId="37" fontId="2" fillId="2" borderId="20" xfId="1" applyNumberFormat="1" applyFont="1" applyFill="1" applyBorder="1" applyAlignment="1">
      <alignment horizontal="center" vertical="center"/>
    </xf>
    <xf numFmtId="37" fontId="2" fillId="2" borderId="6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2" fillId="10" borderId="0" xfId="2" applyFont="1" applyFill="1" applyAlignment="1" applyProtection="1">
      <alignment horizontal="center" vertical="center"/>
      <protection locked="0"/>
    </xf>
    <xf numFmtId="0" fontId="2" fillId="0" borderId="49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0" fillId="0" borderId="19" xfId="0" applyFont="1" applyFill="1" applyBorder="1" applyAlignment="1">
      <alignment horizontal="right" vertical="center" wrapText="1"/>
    </xf>
    <xf numFmtId="0" fontId="6" fillId="0" borderId="21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center"/>
    </xf>
    <xf numFmtId="0" fontId="0" fillId="0" borderId="15" xfId="0" applyBorder="1" applyAlignment="1">
      <alignment horizont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19" fillId="2" borderId="19" xfId="0" applyFont="1" applyFill="1" applyBorder="1" applyAlignment="1">
      <alignment horizontal="right" vertical="center" wrapText="1"/>
    </xf>
    <xf numFmtId="0" fontId="2" fillId="2" borderId="19" xfId="0" applyFont="1" applyFill="1" applyBorder="1" applyAlignment="1">
      <alignment horizontal="right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0" borderId="41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7" fillId="2" borderId="19" xfId="0" applyFont="1" applyFill="1" applyBorder="1" applyAlignment="1">
      <alignment horizontal="right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 vertical="center" wrapText="1"/>
    </xf>
    <xf numFmtId="0" fontId="2" fillId="2" borderId="61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57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3" fillId="4" borderId="31" xfId="0" applyFont="1" applyFill="1" applyBorder="1" applyAlignment="1" applyProtection="1">
      <alignment horizontal="center" vertical="center"/>
    </xf>
    <xf numFmtId="0" fontId="13" fillId="4" borderId="32" xfId="0" applyFont="1" applyFill="1" applyBorder="1" applyAlignment="1" applyProtection="1">
      <alignment horizontal="center" vertical="center"/>
    </xf>
    <xf numFmtId="0" fontId="2" fillId="9" borderId="1" xfId="0" applyFont="1" applyFill="1" applyBorder="1" applyAlignment="1">
      <alignment horizontal="right" vertical="center"/>
    </xf>
    <xf numFmtId="0" fontId="2" fillId="9" borderId="4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11" borderId="1" xfId="0" applyFont="1" applyFill="1" applyBorder="1" applyAlignment="1">
      <alignment horizontal="right" vertical="center"/>
    </xf>
    <xf numFmtId="0" fontId="2" fillId="11" borderId="4" xfId="0" applyFont="1" applyFill="1" applyBorder="1" applyAlignment="1">
      <alignment horizontal="right" vertical="center"/>
    </xf>
  </cellXfs>
  <cellStyles count="3">
    <cellStyle name="Comma" xfId="1" builtinId="3"/>
    <cellStyle name="Hyperlink" xfId="2" builtinId="8"/>
    <cellStyle name="Normal" xfId="0" builtinId="0"/>
  </cellStyles>
  <dxfs count="38"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</dxfs>
  <tableStyles count="0" defaultTableStyle="TableStyleMedium2" defaultPivotStyle="PivotStyleLight16"/>
  <colors>
    <mruColors>
      <color rgb="FFE6EBF6"/>
      <color rgb="FFFFE3DD"/>
      <color rgb="FFFFFAEB"/>
      <color rgb="FFFFEBEB"/>
      <color rgb="FFFFF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3" dropStyle="combo" dx="22" fmlaLink="H3" fmlaRange="$Z$3:$Z$5" sel="1" val="0"/>
</file>

<file path=xl/ctrlProps/ctrlProp10.xml><?xml version="1.0" encoding="utf-8"?>
<formControlPr xmlns="http://schemas.microsoft.com/office/spreadsheetml/2009/9/main" objectType="Drop" dropLines="4" dropStyle="combo" dx="22" fmlaLink="H21" fmlaRange="$AI$3:$AI$6" sel="2" val="0"/>
</file>

<file path=xl/ctrlProps/ctrlProp11.xml><?xml version="1.0" encoding="utf-8"?>
<formControlPr xmlns="http://schemas.microsoft.com/office/spreadsheetml/2009/9/main" objectType="Drop" dropLines="4" dropStyle="combo" dx="22" fmlaLink="$A$26" fmlaRange="$AK$3:$AK$6" sel="2" val="0"/>
</file>

<file path=xl/ctrlProps/ctrlProp12.xml><?xml version="1.0" encoding="utf-8"?>
<formControlPr xmlns="http://schemas.microsoft.com/office/spreadsheetml/2009/9/main" objectType="Drop" dropLines="11" dropStyle="combo" dx="22" fmlaLink="H27" fmlaRange="'MIsc. Criteria'!$C$3:$C$13" sel="9" val="0"/>
</file>

<file path=xl/ctrlProps/ctrlProp13.xml><?xml version="1.0" encoding="utf-8"?>
<formControlPr xmlns="http://schemas.microsoft.com/office/spreadsheetml/2009/9/main" objectType="Drop" dropLines="5" dropStyle="combo" dx="22" fmlaLink="H29" fmlaRange="'MIsc. Criteria'!$J$3:$J$7" sel="1" val="0"/>
</file>

<file path=xl/ctrlProps/ctrlProp14.xml><?xml version="1.0" encoding="utf-8"?>
<formControlPr xmlns="http://schemas.microsoft.com/office/spreadsheetml/2009/9/main" objectType="Drop" dropLines="5" dropStyle="combo" dx="22" fmlaLink="H31" fmlaRange="'MIsc. Criteria'!$J$3:$J$7" sel="2" val="0"/>
</file>

<file path=xl/ctrlProps/ctrlProp15.xml><?xml version="1.0" encoding="utf-8"?>
<formControlPr xmlns="http://schemas.microsoft.com/office/spreadsheetml/2009/9/main" objectType="Drop" dropLines="4" dropStyle="combo" dx="22" fmlaLink="H33" fmlaRange="'MIsc. Criteria'!$L$3:$L$6" sel="3" val="0"/>
</file>

<file path=xl/ctrlProps/ctrlProp16.xml><?xml version="1.0" encoding="utf-8"?>
<formControlPr xmlns="http://schemas.microsoft.com/office/spreadsheetml/2009/9/main" objectType="Drop" dropLines="3" dropStyle="combo" dx="22" fmlaLink="H35" fmlaRange="'MIsc. Criteria'!$Q$3:$Q$5" sel="1" val="0"/>
</file>

<file path=xl/ctrlProps/ctrlProp17.xml><?xml version="1.0" encoding="utf-8"?>
<formControlPr xmlns="http://schemas.microsoft.com/office/spreadsheetml/2009/9/main" objectType="Drop" dropLines="13" dropStyle="combo" dx="22" fmlaLink="H43" fmlaRange="'MIsc. Criteria'!$X$2:$X$14" sel="1" val="0"/>
</file>

<file path=xl/ctrlProps/ctrlProp18.xml><?xml version="1.0" encoding="utf-8"?>
<formControlPr xmlns="http://schemas.microsoft.com/office/spreadsheetml/2009/9/main" objectType="List" dx="22" fmlaLink="H39" fmlaRange="'MIsc. Criteria'!$U$3:$U$47" sel="2" val="0"/>
</file>

<file path=xl/ctrlProps/ctrlProp19.xml><?xml version="1.0" encoding="utf-8"?>
<formControlPr xmlns="http://schemas.microsoft.com/office/spreadsheetml/2009/9/main" objectType="List" dx="22" fmlaLink="H49" fmlaRange="'MIsc. Criteria'!$AA$3:$AA$22" sel="12" val="6"/>
</file>

<file path=xl/ctrlProps/ctrlProp2.xml><?xml version="1.0" encoding="utf-8"?>
<formControlPr xmlns="http://schemas.microsoft.com/office/spreadsheetml/2009/9/main" objectType="Drop" dropLines="3" dropStyle="combo" dx="22" fmlaLink="H5" fmlaRange="$AA$3:$AA$5" sel="2" val="0"/>
</file>

<file path=xl/ctrlProps/ctrlProp20.xml><?xml version="1.0" encoding="utf-8"?>
<formControlPr xmlns="http://schemas.microsoft.com/office/spreadsheetml/2009/9/main" objectType="List" dx="22" fmlaLink="H57" fmlaRange="'MIsc. Criteria'!$AA$3:$AA$38" sel="15" val="9"/>
</file>

<file path=xl/ctrlProps/ctrlProp21.xml><?xml version="1.0" encoding="utf-8"?>
<formControlPr xmlns="http://schemas.microsoft.com/office/spreadsheetml/2009/9/main" objectType="List" dx="22" fmlaLink="M43" fmlaRange="'MIsc. Criteria'!$AA$3:$AA$38" sel="2" val="0"/>
</file>

<file path=xl/ctrlProps/ctrlProp22.xml><?xml version="1.0" encoding="utf-8"?>
<formControlPr xmlns="http://schemas.microsoft.com/office/spreadsheetml/2009/9/main" objectType="Drop" dropLines="4" dropStyle="combo" dx="22" fmlaLink="M47" fmlaRange="'MIsc. Criteria'!$AH$2:$AH$5" sel="1" val="0"/>
</file>

<file path=xl/ctrlProps/ctrlProp23.xml><?xml version="1.0" encoding="utf-8"?>
<formControlPr xmlns="http://schemas.microsoft.com/office/spreadsheetml/2009/9/main" objectType="Drop" dropLines="3" dropStyle="combo" dx="22" fmlaLink="M51" fmlaRange="'MIsc. Criteria'!$AJ$2:$AJ$4" sel="2" val="0"/>
</file>

<file path=xl/ctrlProps/ctrlProp3.xml><?xml version="1.0" encoding="utf-8"?>
<formControlPr xmlns="http://schemas.microsoft.com/office/spreadsheetml/2009/9/main" objectType="Drop" dropLines="4" dropStyle="combo" dx="22" fmlaLink="H7" fmlaRange="$AB$3:$AB$6" sel="2" val="0"/>
</file>

<file path=xl/ctrlProps/ctrlProp4.xml><?xml version="1.0" encoding="utf-8"?>
<formControlPr xmlns="http://schemas.microsoft.com/office/spreadsheetml/2009/9/main" objectType="Drop" dropLines="4" dropStyle="combo" dx="22" fmlaLink="H9" fmlaRange="$AC$3:$AC$6" sel="1" val="0"/>
</file>

<file path=xl/ctrlProps/ctrlProp5.xml><?xml version="1.0" encoding="utf-8"?>
<formControlPr xmlns="http://schemas.microsoft.com/office/spreadsheetml/2009/9/main" objectType="Drop" dropLines="4" dropStyle="combo" dx="22" fmlaLink="H11" fmlaRange="$AD$3:$AD$6" sel="1" val="0"/>
</file>

<file path=xl/ctrlProps/ctrlProp6.xml><?xml version="1.0" encoding="utf-8"?>
<formControlPr xmlns="http://schemas.microsoft.com/office/spreadsheetml/2009/9/main" objectType="Drop" dropLines="4" dropStyle="combo" dx="22" fmlaLink="H13" fmlaRange="$AE$3:$AE$6" sel="3" val="0"/>
</file>

<file path=xl/ctrlProps/ctrlProp7.xml><?xml version="1.0" encoding="utf-8"?>
<formControlPr xmlns="http://schemas.microsoft.com/office/spreadsheetml/2009/9/main" objectType="Drop" dropLines="4" dropStyle="combo" dx="22" fmlaLink="H15" fmlaRange="$AE$3:$AE$6" sel="1" val="0"/>
</file>

<file path=xl/ctrlProps/ctrlProp8.xml><?xml version="1.0" encoding="utf-8"?>
<formControlPr xmlns="http://schemas.microsoft.com/office/spreadsheetml/2009/9/main" objectType="Drop" dropLines="4" dropStyle="combo" dx="22" fmlaLink="H17" fmlaRange="$AG$3:$AG$6" sel="4" val="0"/>
</file>

<file path=xl/ctrlProps/ctrlProp9.xml><?xml version="1.0" encoding="utf-8"?>
<formControlPr xmlns="http://schemas.microsoft.com/office/spreadsheetml/2009/9/main" objectType="Drop" dropLines="4" dropStyle="combo" dx="22" fmlaLink="H19" fmlaRange="$AH$3:$AH$6" sel="3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</xdr:row>
          <xdr:rowOff>47625</xdr:rowOff>
        </xdr:from>
        <xdr:to>
          <xdr:col>7</xdr:col>
          <xdr:colOff>1847850</xdr:colOff>
          <xdr:row>3</xdr:row>
          <xdr:rowOff>161925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4</xdr:row>
          <xdr:rowOff>47625</xdr:rowOff>
        </xdr:from>
        <xdr:to>
          <xdr:col>7</xdr:col>
          <xdr:colOff>1847850</xdr:colOff>
          <xdr:row>5</xdr:row>
          <xdr:rowOff>161925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6</xdr:row>
          <xdr:rowOff>47625</xdr:rowOff>
        </xdr:from>
        <xdr:to>
          <xdr:col>7</xdr:col>
          <xdr:colOff>1847850</xdr:colOff>
          <xdr:row>7</xdr:row>
          <xdr:rowOff>161925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8</xdr:row>
          <xdr:rowOff>47625</xdr:rowOff>
        </xdr:from>
        <xdr:to>
          <xdr:col>7</xdr:col>
          <xdr:colOff>1847850</xdr:colOff>
          <xdr:row>9</xdr:row>
          <xdr:rowOff>161925</xdr:rowOff>
        </xdr:to>
        <xdr:sp macro="" textlink="">
          <xdr:nvSpPr>
            <xdr:cNvPr id="1036" name="Drop Dow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10</xdr:row>
          <xdr:rowOff>47625</xdr:rowOff>
        </xdr:from>
        <xdr:to>
          <xdr:col>7</xdr:col>
          <xdr:colOff>1847850</xdr:colOff>
          <xdr:row>11</xdr:row>
          <xdr:rowOff>161925</xdr:rowOff>
        </xdr:to>
        <xdr:sp macro="" textlink="">
          <xdr:nvSpPr>
            <xdr:cNvPr id="1037" name="Drop Dow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12</xdr:row>
          <xdr:rowOff>47625</xdr:rowOff>
        </xdr:from>
        <xdr:to>
          <xdr:col>7</xdr:col>
          <xdr:colOff>1847850</xdr:colOff>
          <xdr:row>13</xdr:row>
          <xdr:rowOff>161925</xdr:rowOff>
        </xdr:to>
        <xdr:sp macro="" textlink="">
          <xdr:nvSpPr>
            <xdr:cNvPr id="1038" name="Drop Dow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14</xdr:row>
          <xdr:rowOff>47625</xdr:rowOff>
        </xdr:from>
        <xdr:to>
          <xdr:col>7</xdr:col>
          <xdr:colOff>1847850</xdr:colOff>
          <xdr:row>15</xdr:row>
          <xdr:rowOff>161925</xdr:rowOff>
        </xdr:to>
        <xdr:sp macro="" textlink="">
          <xdr:nvSpPr>
            <xdr:cNvPr id="1039" name="Drop Dow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16</xdr:row>
          <xdr:rowOff>47625</xdr:rowOff>
        </xdr:from>
        <xdr:to>
          <xdr:col>7</xdr:col>
          <xdr:colOff>1847850</xdr:colOff>
          <xdr:row>17</xdr:row>
          <xdr:rowOff>161925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18</xdr:row>
          <xdr:rowOff>47625</xdr:rowOff>
        </xdr:from>
        <xdr:to>
          <xdr:col>7</xdr:col>
          <xdr:colOff>1847850</xdr:colOff>
          <xdr:row>19</xdr:row>
          <xdr:rowOff>161925</xdr:rowOff>
        </xdr:to>
        <xdr:sp macro="" textlink="">
          <xdr:nvSpPr>
            <xdr:cNvPr id="1041" name="Drop Down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20</xdr:row>
          <xdr:rowOff>47625</xdr:rowOff>
        </xdr:from>
        <xdr:to>
          <xdr:col>7</xdr:col>
          <xdr:colOff>1847850</xdr:colOff>
          <xdr:row>21</xdr:row>
          <xdr:rowOff>161925</xdr:rowOff>
        </xdr:to>
        <xdr:sp macro="" textlink="">
          <xdr:nvSpPr>
            <xdr:cNvPr id="1042" name="Drop Dow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25</xdr:row>
          <xdr:rowOff>28575</xdr:rowOff>
        </xdr:from>
        <xdr:to>
          <xdr:col>0</xdr:col>
          <xdr:colOff>1466850</xdr:colOff>
          <xdr:row>26</xdr:row>
          <xdr:rowOff>152400</xdr:rowOff>
        </xdr:to>
        <xdr:sp macro="" textlink="">
          <xdr:nvSpPr>
            <xdr:cNvPr id="1043" name="Drop Down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26</xdr:row>
          <xdr:rowOff>47625</xdr:rowOff>
        </xdr:from>
        <xdr:to>
          <xdr:col>7</xdr:col>
          <xdr:colOff>1847850</xdr:colOff>
          <xdr:row>27</xdr:row>
          <xdr:rowOff>161925</xdr:rowOff>
        </xdr:to>
        <xdr:sp macro="" textlink="">
          <xdr:nvSpPr>
            <xdr:cNvPr id="1044" name="Drop Down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28</xdr:row>
          <xdr:rowOff>47625</xdr:rowOff>
        </xdr:from>
        <xdr:to>
          <xdr:col>7</xdr:col>
          <xdr:colOff>1847850</xdr:colOff>
          <xdr:row>29</xdr:row>
          <xdr:rowOff>161925</xdr:rowOff>
        </xdr:to>
        <xdr:sp macro="" textlink="">
          <xdr:nvSpPr>
            <xdr:cNvPr id="1045" name="Drop Down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30</xdr:row>
          <xdr:rowOff>47625</xdr:rowOff>
        </xdr:from>
        <xdr:to>
          <xdr:col>7</xdr:col>
          <xdr:colOff>1847850</xdr:colOff>
          <xdr:row>31</xdr:row>
          <xdr:rowOff>161925</xdr:rowOff>
        </xdr:to>
        <xdr:sp macro="" textlink="">
          <xdr:nvSpPr>
            <xdr:cNvPr id="1046" name="Drop Down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32</xdr:row>
          <xdr:rowOff>47625</xdr:rowOff>
        </xdr:from>
        <xdr:to>
          <xdr:col>7</xdr:col>
          <xdr:colOff>1847850</xdr:colOff>
          <xdr:row>33</xdr:row>
          <xdr:rowOff>161925</xdr:rowOff>
        </xdr:to>
        <xdr:sp macro="" textlink="">
          <xdr:nvSpPr>
            <xdr:cNvPr id="1047" name="Drop Down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34</xdr:row>
          <xdr:rowOff>47625</xdr:rowOff>
        </xdr:from>
        <xdr:to>
          <xdr:col>7</xdr:col>
          <xdr:colOff>1847850</xdr:colOff>
          <xdr:row>35</xdr:row>
          <xdr:rowOff>152400</xdr:rowOff>
        </xdr:to>
        <xdr:sp macro="" textlink="">
          <xdr:nvSpPr>
            <xdr:cNvPr id="1048" name="Drop Down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28576</xdr:colOff>
      <xdr:row>27</xdr:row>
      <xdr:rowOff>180975</xdr:rowOff>
    </xdr:from>
    <xdr:to>
      <xdr:col>9</xdr:col>
      <xdr:colOff>266700</xdr:colOff>
      <xdr:row>33</xdr:row>
      <xdr:rowOff>190500</xdr:rowOff>
    </xdr:to>
    <xdr:sp macro="" textlink="">
      <xdr:nvSpPr>
        <xdr:cNvPr id="2" name="Right Arrow 1"/>
        <xdr:cNvSpPr/>
      </xdr:nvSpPr>
      <xdr:spPr>
        <a:xfrm>
          <a:off x="8382001" y="5419725"/>
          <a:ext cx="866774" cy="11525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42</xdr:row>
          <xdr:rowOff>38100</xdr:rowOff>
        </xdr:from>
        <xdr:to>
          <xdr:col>7</xdr:col>
          <xdr:colOff>1847850</xdr:colOff>
          <xdr:row>43</xdr:row>
          <xdr:rowOff>152400</xdr:rowOff>
        </xdr:to>
        <xdr:sp macro="" textlink="">
          <xdr:nvSpPr>
            <xdr:cNvPr id="1050" name="Drop Down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38</xdr:row>
          <xdr:rowOff>9525</xdr:rowOff>
        </xdr:from>
        <xdr:to>
          <xdr:col>7</xdr:col>
          <xdr:colOff>1847850</xdr:colOff>
          <xdr:row>41</xdr:row>
          <xdr:rowOff>142875</xdr:rowOff>
        </xdr:to>
        <xdr:sp macro="" textlink="">
          <xdr:nvSpPr>
            <xdr:cNvPr id="1051" name="List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48</xdr:row>
          <xdr:rowOff>9525</xdr:rowOff>
        </xdr:from>
        <xdr:to>
          <xdr:col>7</xdr:col>
          <xdr:colOff>1847850</xdr:colOff>
          <xdr:row>51</xdr:row>
          <xdr:rowOff>161925</xdr:rowOff>
        </xdr:to>
        <xdr:sp macro="" textlink="">
          <xdr:nvSpPr>
            <xdr:cNvPr id="1052" name="List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56</xdr:row>
          <xdr:rowOff>9525</xdr:rowOff>
        </xdr:from>
        <xdr:to>
          <xdr:col>7</xdr:col>
          <xdr:colOff>1847850</xdr:colOff>
          <xdr:row>59</xdr:row>
          <xdr:rowOff>152400</xdr:rowOff>
        </xdr:to>
        <xdr:sp macro="" textlink="">
          <xdr:nvSpPr>
            <xdr:cNvPr id="1053" name="List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42</xdr:row>
          <xdr:rowOff>9525</xdr:rowOff>
        </xdr:from>
        <xdr:to>
          <xdr:col>14</xdr:col>
          <xdr:colOff>581025</xdr:colOff>
          <xdr:row>45</xdr:row>
          <xdr:rowOff>161925</xdr:rowOff>
        </xdr:to>
        <xdr:sp macro="" textlink="">
          <xdr:nvSpPr>
            <xdr:cNvPr id="1054" name="List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600075</xdr:colOff>
          <xdr:row>46</xdr:row>
          <xdr:rowOff>47625</xdr:rowOff>
        </xdr:from>
        <xdr:to>
          <xdr:col>14</xdr:col>
          <xdr:colOff>590550</xdr:colOff>
          <xdr:row>47</xdr:row>
          <xdr:rowOff>152400</xdr:rowOff>
        </xdr:to>
        <xdr:sp macro="" textlink="">
          <xdr:nvSpPr>
            <xdr:cNvPr id="1055" name="Drop Down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600075</xdr:colOff>
          <xdr:row>50</xdr:row>
          <xdr:rowOff>47625</xdr:rowOff>
        </xdr:from>
        <xdr:to>
          <xdr:col>14</xdr:col>
          <xdr:colOff>590550</xdr:colOff>
          <xdr:row>51</xdr:row>
          <xdr:rowOff>161925</xdr:rowOff>
        </xdr:to>
        <xdr:sp macro="" textlink="">
          <xdr:nvSpPr>
            <xdr:cNvPr id="1056" name="Drop Down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25977</xdr:colOff>
      <xdr:row>2</xdr:row>
      <xdr:rowOff>34637</xdr:rowOff>
    </xdr:from>
    <xdr:to>
      <xdr:col>4</xdr:col>
      <xdr:colOff>822614</xdr:colOff>
      <xdr:row>5</xdr:row>
      <xdr:rowOff>164523</xdr:rowOff>
    </xdr:to>
    <xdr:sp macro="" textlink="">
      <xdr:nvSpPr>
        <xdr:cNvPr id="26" name="Right Arrow 25"/>
        <xdr:cNvSpPr/>
      </xdr:nvSpPr>
      <xdr:spPr>
        <a:xfrm>
          <a:off x="4069772" y="502228"/>
          <a:ext cx="796637" cy="71004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13" Type="http://schemas.openxmlformats.org/officeDocument/2006/relationships/ctrlProp" Target="../ctrlProps/ctrlProp4.xml"/><Relationship Id="rId18" Type="http://schemas.openxmlformats.org/officeDocument/2006/relationships/ctrlProp" Target="../ctrlProps/ctrlProp9.xml"/><Relationship Id="rId26" Type="http://schemas.openxmlformats.org/officeDocument/2006/relationships/ctrlProp" Target="../ctrlProps/ctrlProp17.xml"/><Relationship Id="rId3" Type="http://schemas.openxmlformats.org/officeDocument/2006/relationships/hyperlink" Target="https://theotherside.timsbrannan.com/" TargetMode="External"/><Relationship Id="rId21" Type="http://schemas.openxmlformats.org/officeDocument/2006/relationships/ctrlProp" Target="../ctrlProps/ctrlProp12.xml"/><Relationship Id="rId7" Type="http://schemas.openxmlformats.org/officeDocument/2006/relationships/printerSettings" Target="../printerSettings/printerSettings1.bin"/><Relationship Id="rId12" Type="http://schemas.openxmlformats.org/officeDocument/2006/relationships/ctrlProp" Target="../ctrlProps/ctrlProp3.xml"/><Relationship Id="rId17" Type="http://schemas.openxmlformats.org/officeDocument/2006/relationships/ctrlProp" Target="../ctrlProps/ctrlProp8.xml"/><Relationship Id="rId25" Type="http://schemas.openxmlformats.org/officeDocument/2006/relationships/ctrlProp" Target="../ctrlProps/ctrlProp16.xml"/><Relationship Id="rId2" Type="http://schemas.openxmlformats.org/officeDocument/2006/relationships/hyperlink" Target="https://breeyark.org/building-the-perfect-class/" TargetMode="External"/><Relationship Id="rId16" Type="http://schemas.openxmlformats.org/officeDocument/2006/relationships/ctrlProp" Target="../ctrlProps/ctrlProp7.xml"/><Relationship Id="rId20" Type="http://schemas.openxmlformats.org/officeDocument/2006/relationships/ctrlProp" Target="../ctrlProps/ctrlProp11.xml"/><Relationship Id="rId29" Type="http://schemas.openxmlformats.org/officeDocument/2006/relationships/ctrlProp" Target="../ctrlProps/ctrlProp20.xml"/><Relationship Id="rId1" Type="http://schemas.openxmlformats.org/officeDocument/2006/relationships/hyperlink" Target="https://bruce-heard.blogspot.com/" TargetMode="External"/><Relationship Id="rId6" Type="http://schemas.openxmlformats.org/officeDocument/2006/relationships/hyperlink" Target="https://bruce-heard.blogspot.com/2021/03/HalfOrcs.html" TargetMode="External"/><Relationship Id="rId11" Type="http://schemas.openxmlformats.org/officeDocument/2006/relationships/ctrlProp" Target="../ctrlProps/ctrlProp2.xml"/><Relationship Id="rId24" Type="http://schemas.openxmlformats.org/officeDocument/2006/relationships/ctrlProp" Target="../ctrlProps/ctrlProp15.xml"/><Relationship Id="rId32" Type="http://schemas.openxmlformats.org/officeDocument/2006/relationships/ctrlProp" Target="../ctrlProps/ctrlProp23.xml"/><Relationship Id="rId5" Type="http://schemas.openxmlformats.org/officeDocument/2006/relationships/hyperlink" Target="https://bruce-heard.blogspot.com/2021/03/Saves.html" TargetMode="External"/><Relationship Id="rId15" Type="http://schemas.openxmlformats.org/officeDocument/2006/relationships/ctrlProp" Target="../ctrlProps/ctrlProp6.xml"/><Relationship Id="rId23" Type="http://schemas.openxmlformats.org/officeDocument/2006/relationships/ctrlProp" Target="../ctrlProps/ctrlProp14.xml"/><Relationship Id="rId28" Type="http://schemas.openxmlformats.org/officeDocument/2006/relationships/ctrlProp" Target="../ctrlProps/ctrlProp19.xml"/><Relationship Id="rId10" Type="http://schemas.openxmlformats.org/officeDocument/2006/relationships/ctrlProp" Target="../ctrlProps/ctrlProp1.xml"/><Relationship Id="rId19" Type="http://schemas.openxmlformats.org/officeDocument/2006/relationships/ctrlProp" Target="../ctrlProps/ctrlProp10.xml"/><Relationship Id="rId31" Type="http://schemas.openxmlformats.org/officeDocument/2006/relationships/ctrlProp" Target="../ctrlProps/ctrlProp22.xml"/><Relationship Id="rId4" Type="http://schemas.openxmlformats.org/officeDocument/2006/relationships/hyperlink" Target="https://bruce-heard.blogspot.com/2021/04/d-becmi-revised-experience-levels.html" TargetMode="External"/><Relationship Id="rId9" Type="http://schemas.openxmlformats.org/officeDocument/2006/relationships/vmlDrawing" Target="../drawings/vmlDrawing1.vml"/><Relationship Id="rId14" Type="http://schemas.openxmlformats.org/officeDocument/2006/relationships/ctrlProp" Target="../ctrlProps/ctrlProp5.xml"/><Relationship Id="rId22" Type="http://schemas.openxmlformats.org/officeDocument/2006/relationships/ctrlProp" Target="../ctrlProps/ctrlProp13.xml"/><Relationship Id="rId27" Type="http://schemas.openxmlformats.org/officeDocument/2006/relationships/ctrlProp" Target="../ctrlProps/ctrlProp18.xml"/><Relationship Id="rId30" Type="http://schemas.openxmlformats.org/officeDocument/2006/relationships/ctrlProp" Target="../ctrlProps/ctrlProp2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62"/>
  <sheetViews>
    <sheetView showGridLines="0" showRowColHeaders="0" tabSelected="1" zoomScale="110" zoomScaleNormal="110" workbookViewId="0">
      <selection activeCell="D25" sqref="D25:E26"/>
    </sheetView>
  </sheetViews>
  <sheetFormatPr defaultRowHeight="15" x14ac:dyDescent="0.25"/>
  <cols>
    <col min="1" max="1" width="22.42578125" style="5" customWidth="1"/>
    <col min="2" max="5" width="12.7109375" style="4" customWidth="1"/>
    <col min="6" max="6" width="4" customWidth="1"/>
    <col min="7" max="7" width="20.140625" style="3" customWidth="1"/>
    <col min="8" max="8" width="27.85546875" customWidth="1"/>
    <col min="9" max="9" width="9.42578125" customWidth="1"/>
    <col min="10" max="10" width="4.42578125" customWidth="1"/>
    <col min="11" max="11" width="7.7109375" customWidth="1"/>
    <col min="16" max="16" width="8.85546875" customWidth="1"/>
    <col min="17" max="17" width="2.5703125" customWidth="1"/>
    <col min="18" max="18" width="2" customWidth="1"/>
    <col min="19" max="19" width="1.5703125" customWidth="1"/>
    <col min="20" max="20" width="4.85546875" customWidth="1"/>
    <col min="21" max="21" width="5.85546875" customWidth="1"/>
    <col min="25" max="25" width="82.42578125" customWidth="1"/>
  </cols>
  <sheetData>
    <row r="1" spans="1:39" ht="24.75" customHeight="1" thickBot="1" x14ac:dyDescent="0.3">
      <c r="A1" s="248" t="s">
        <v>191</v>
      </c>
      <c r="B1" s="248"/>
      <c r="C1" s="248"/>
      <c r="D1" s="248"/>
      <c r="E1" s="248"/>
      <c r="F1" s="248"/>
      <c r="G1" s="248"/>
      <c r="H1" s="248"/>
      <c r="I1" s="248"/>
      <c r="J1" s="248"/>
      <c r="K1" s="134" t="s">
        <v>197</v>
      </c>
      <c r="L1" s="135"/>
      <c r="M1" s="135"/>
      <c r="N1" s="135"/>
      <c r="O1" s="135"/>
      <c r="P1" s="135"/>
      <c r="Q1" s="135"/>
      <c r="R1" s="135"/>
      <c r="S1" s="135"/>
      <c r="T1" s="136"/>
    </row>
    <row r="2" spans="1:39" ht="19.5" thickBot="1" x14ac:dyDescent="0.3">
      <c r="A2" s="262" t="s">
        <v>26</v>
      </c>
      <c r="B2" s="263"/>
      <c r="C2" s="263"/>
      <c r="D2" s="263"/>
      <c r="E2" s="264"/>
      <c r="G2" s="21" t="s">
        <v>31</v>
      </c>
      <c r="H2" s="6" t="s">
        <v>178</v>
      </c>
      <c r="I2" s="6" t="s">
        <v>27</v>
      </c>
      <c r="J2" s="253"/>
      <c r="K2" s="137"/>
      <c r="L2" s="138"/>
      <c r="M2" s="138"/>
      <c r="N2" s="138"/>
      <c r="O2" s="138"/>
      <c r="P2" s="138"/>
      <c r="Q2" s="138"/>
      <c r="R2" s="138"/>
      <c r="S2" s="138"/>
      <c r="T2" s="139"/>
      <c r="Z2" s="8" t="str">
        <f>A3</f>
        <v>Base HD</v>
      </c>
      <c r="AA2" s="9" t="str">
        <f>A5</f>
        <v>Combat Table</v>
      </c>
      <c r="AB2" s="10" t="str">
        <f>A7</f>
        <v>Saving Throws</v>
      </c>
      <c r="AC2" s="9" t="str">
        <f>A9</f>
        <v xml:space="preserve"> Cleric Spells</v>
      </c>
      <c r="AD2" s="10" t="str">
        <f>A11</f>
        <v>Magic-User Spells</v>
      </c>
      <c r="AE2" s="9" t="str">
        <f>A13</f>
        <v>Unique Class Abilities</v>
      </c>
      <c r="AF2" s="10" t="str">
        <f>A15</f>
        <v>Racial Abilities</v>
      </c>
      <c r="AG2" s="9" t="str">
        <f>A17</f>
        <v>Special Skills</v>
      </c>
      <c r="AH2" s="10" t="str">
        <f>A19</f>
        <v>Weapon Permitted</v>
      </c>
      <c r="AI2" s="11" t="str">
        <f>A21</f>
        <v>Armor Permitted</v>
      </c>
      <c r="AK2" s="2" t="s">
        <v>43</v>
      </c>
    </row>
    <row r="3" spans="1:39" x14ac:dyDescent="0.25">
      <c r="A3" s="295" t="s">
        <v>0</v>
      </c>
      <c r="B3" s="129" t="s">
        <v>18</v>
      </c>
      <c r="C3" s="129" t="s">
        <v>19</v>
      </c>
      <c r="D3" s="130" t="s">
        <v>20</v>
      </c>
      <c r="E3" s="259"/>
      <c r="G3" s="240" t="str">
        <f>A3</f>
        <v>Base HD</v>
      </c>
      <c r="H3" s="65">
        <v>1</v>
      </c>
      <c r="I3" s="235">
        <f>IF(H3=1,B4,IF(H3=2,C4,D4))</f>
        <v>0</v>
      </c>
      <c r="J3" s="254"/>
      <c r="K3" s="236" t="s">
        <v>35</v>
      </c>
      <c r="L3" s="237"/>
      <c r="M3" s="237"/>
      <c r="N3" s="237"/>
      <c r="O3" s="237"/>
      <c r="P3" s="237"/>
      <c r="Q3" s="237"/>
      <c r="R3" s="237"/>
      <c r="S3" s="237"/>
      <c r="T3" s="238"/>
      <c r="Z3" s="13" t="str">
        <f>$B3</f>
        <v>1. d4</v>
      </c>
      <c r="AA3" s="14" t="str">
        <f>$B5</f>
        <v>1. Magic User</v>
      </c>
      <c r="AB3" s="15" t="str">
        <f>$B7</f>
        <v>1. Mediocre</v>
      </c>
      <c r="AC3" s="14" t="str">
        <f>$B9</f>
        <v>1. None</v>
      </c>
      <c r="AD3" s="15" t="str">
        <f>$B11</f>
        <v>1. None</v>
      </c>
      <c r="AE3" s="14" t="str">
        <f>$B13</f>
        <v>1. None</v>
      </c>
      <c r="AF3" s="15" t="str">
        <f>$B15</f>
        <v>1. None</v>
      </c>
      <c r="AG3" s="14" t="str">
        <f>$B17</f>
        <v>1. None</v>
      </c>
      <c r="AH3" s="15" t="str">
        <f>$B19</f>
        <v>1. Natural only</v>
      </c>
      <c r="AI3" s="16" t="str">
        <f>$B21</f>
        <v>1. None</v>
      </c>
      <c r="AK3" s="3" t="s">
        <v>41</v>
      </c>
      <c r="AM3" s="1" t="str">
        <f>IF($H$35=1,'MIsc. Criteria'!C18,IF($H$35=2,'MIsc. Criteria'!D18,'MIsc. Criteria'!E18))</f>
        <v>1-2</v>
      </c>
    </row>
    <row r="4" spans="1:39" ht="15.75" thickBot="1" x14ac:dyDescent="0.3">
      <c r="A4" s="296"/>
      <c r="B4" s="62">
        <v>0</v>
      </c>
      <c r="C4" s="62">
        <v>150</v>
      </c>
      <c r="D4" s="62">
        <v>400</v>
      </c>
      <c r="E4" s="260"/>
      <c r="G4" s="240"/>
      <c r="H4" s="65"/>
      <c r="I4" s="235"/>
      <c r="J4" s="254"/>
      <c r="K4" s="155"/>
      <c r="L4" s="156"/>
      <c r="M4" s="156"/>
      <c r="N4" s="156"/>
      <c r="O4" s="156"/>
      <c r="P4" s="156"/>
      <c r="Q4" s="156"/>
      <c r="R4" s="156"/>
      <c r="S4" s="156"/>
      <c r="T4" s="157"/>
      <c r="Z4" s="13" t="str">
        <f>$C3</f>
        <v>2. d6</v>
      </c>
      <c r="AA4" s="14" t="str">
        <f>$C5</f>
        <v>2. Mid Range</v>
      </c>
      <c r="AB4" s="15" t="str">
        <f>$C7</f>
        <v>2. Fair</v>
      </c>
      <c r="AC4" s="14" t="str">
        <f>$C9</f>
        <v>2. Few Spells</v>
      </c>
      <c r="AD4" s="15" t="str">
        <f>$C11</f>
        <v>2. Few Spells</v>
      </c>
      <c r="AE4" s="14" t="str">
        <f>$C13</f>
        <v>2. Minor</v>
      </c>
      <c r="AF4" s="15" t="str">
        <f>$C15</f>
        <v>2. Minor</v>
      </c>
      <c r="AG4" s="14" t="str">
        <f>$C17</f>
        <v>2. Minor</v>
      </c>
      <c r="AH4" s="15" t="str">
        <f>$C19</f>
        <v>2. Few</v>
      </c>
      <c r="AI4" s="16" t="str">
        <f>$C21</f>
        <v>2. Some</v>
      </c>
      <c r="AK4" s="3" t="s">
        <v>45</v>
      </c>
      <c r="AM4" s="1" t="str">
        <f>IF($H$35=1,'MIsc. Criteria'!C19,IF($H$35=2,'MIsc. Criteria'!D19,'MIsc. Criteria'!E19))</f>
        <v>3-4</v>
      </c>
    </row>
    <row r="5" spans="1:39" ht="15" customHeight="1" x14ac:dyDescent="0.25">
      <c r="A5" s="297" t="s">
        <v>3</v>
      </c>
      <c r="B5" s="6" t="s">
        <v>6</v>
      </c>
      <c r="C5" s="6" t="s">
        <v>7</v>
      </c>
      <c r="D5" s="7" t="s">
        <v>8</v>
      </c>
      <c r="E5" s="260"/>
      <c r="G5" s="232" t="str">
        <f>A5</f>
        <v>Combat Table</v>
      </c>
      <c r="H5" s="64">
        <v>2</v>
      </c>
      <c r="I5" s="234">
        <f>IF(H5=1,B6,IF(H5=2,C6,D6))</f>
        <v>150</v>
      </c>
      <c r="J5" s="254"/>
      <c r="K5" s="155" t="s">
        <v>198</v>
      </c>
      <c r="L5" s="156"/>
      <c r="M5" s="156"/>
      <c r="N5" s="156"/>
      <c r="O5" s="156"/>
      <c r="P5" s="156"/>
      <c r="Q5" s="156"/>
      <c r="R5" s="156"/>
      <c r="S5" s="156"/>
      <c r="T5" s="157"/>
      <c r="Z5" s="13" t="str">
        <f>$D3</f>
        <v>3. d8</v>
      </c>
      <c r="AA5" s="14" t="str">
        <f>$D5</f>
        <v>3. Fighter</v>
      </c>
      <c r="AB5" s="15" t="str">
        <f>$D7</f>
        <v>3. Good</v>
      </c>
      <c r="AC5" s="14" t="str">
        <f>$D9</f>
        <v>3. Most Spells</v>
      </c>
      <c r="AD5" s="15" t="str">
        <f>$D11</f>
        <v>3. Most Spells</v>
      </c>
      <c r="AE5" s="14" t="str">
        <f>$D13</f>
        <v>3. Significant</v>
      </c>
      <c r="AF5" s="15" t="str">
        <f>$D15</f>
        <v>3. Significant</v>
      </c>
      <c r="AG5" s="14" t="str">
        <f>$D17</f>
        <v>3. Significant</v>
      </c>
      <c r="AH5" s="15" t="str">
        <f>$D19</f>
        <v>3. Most</v>
      </c>
      <c r="AI5" s="16" t="str">
        <f>$D21</f>
        <v>3. Most</v>
      </c>
      <c r="AK5" s="3" t="s">
        <v>42</v>
      </c>
      <c r="AM5" s="1" t="str">
        <f>IF($H$35=1,'MIsc. Criteria'!C20,IF($H$35=2,'MIsc. Criteria'!D20,'MIsc. Criteria'!E20))</f>
        <v>5-7</v>
      </c>
    </row>
    <row r="6" spans="1:39" ht="15.75" thickBot="1" x14ac:dyDescent="0.3">
      <c r="A6" s="298"/>
      <c r="B6" s="62">
        <v>0</v>
      </c>
      <c r="C6" s="62">
        <v>150</v>
      </c>
      <c r="D6" s="62">
        <v>400</v>
      </c>
      <c r="E6" s="261"/>
      <c r="G6" s="232"/>
      <c r="H6" s="64"/>
      <c r="I6" s="234"/>
      <c r="J6" s="254"/>
      <c r="K6" s="155"/>
      <c r="L6" s="156"/>
      <c r="M6" s="156"/>
      <c r="N6" s="156"/>
      <c r="O6" s="156"/>
      <c r="P6" s="156"/>
      <c r="Q6" s="156"/>
      <c r="R6" s="156"/>
      <c r="S6" s="156"/>
      <c r="T6" s="157"/>
      <c r="Z6" s="17">
        <f>$E3</f>
        <v>0</v>
      </c>
      <c r="AA6" s="18">
        <f>$E5</f>
        <v>0</v>
      </c>
      <c r="AB6" s="19" t="str">
        <f>$E7</f>
        <v>4. Best</v>
      </c>
      <c r="AC6" s="18" t="str">
        <f>$E9</f>
        <v>4. Full Range</v>
      </c>
      <c r="AD6" s="19" t="str">
        <f>$E11</f>
        <v>4. Full Range</v>
      </c>
      <c r="AE6" s="18" t="str">
        <f>$E13</f>
        <v>4. Major</v>
      </c>
      <c r="AF6" s="19" t="str">
        <f>$E15</f>
        <v>4. Major</v>
      </c>
      <c r="AG6" s="18" t="str">
        <f>$E17</f>
        <v>4. Major</v>
      </c>
      <c r="AH6" s="19" t="str">
        <f>$E19</f>
        <v>4. All</v>
      </c>
      <c r="AI6" s="20" t="str">
        <f>$E21</f>
        <v>4. All</v>
      </c>
      <c r="AK6" s="3" t="s">
        <v>47</v>
      </c>
      <c r="AM6" s="1" t="str">
        <f>IF($H$35=1,'MIsc. Criteria'!C21,IF($H$35=2,'MIsc. Criteria'!D21,'MIsc. Criteria'!E21))</f>
        <v>8-10</v>
      </c>
    </row>
    <row r="7" spans="1:39" x14ac:dyDescent="0.25">
      <c r="A7" s="299" t="s">
        <v>1</v>
      </c>
      <c r="B7" s="129" t="s">
        <v>9</v>
      </c>
      <c r="C7" s="129" t="s">
        <v>10</v>
      </c>
      <c r="D7" s="129" t="s">
        <v>11</v>
      </c>
      <c r="E7" s="130" t="s">
        <v>12</v>
      </c>
      <c r="G7" s="233" t="str">
        <f>A7</f>
        <v>Saving Throws</v>
      </c>
      <c r="H7" s="133">
        <v>2</v>
      </c>
      <c r="I7" s="239">
        <f>IF(H7=1,B8,IF(H7=2,C8,IF(H7=3,D8,E8)))</f>
        <v>100</v>
      </c>
      <c r="J7" s="254"/>
      <c r="K7" s="158" t="s">
        <v>204</v>
      </c>
      <c r="L7" s="159"/>
      <c r="M7" s="159"/>
      <c r="N7" s="159"/>
      <c r="O7" s="159"/>
      <c r="P7" s="159"/>
      <c r="Q7" s="159"/>
      <c r="R7" s="159"/>
      <c r="S7" s="159"/>
      <c r="T7" s="160"/>
      <c r="AM7" s="1" t="str">
        <f>IF($H$35=1,'MIsc. Criteria'!C22,IF($H$35=2,'MIsc. Criteria'!D22,'MIsc. Criteria'!E22))</f>
        <v>11-13</v>
      </c>
    </row>
    <row r="8" spans="1:39" ht="15.75" thickBot="1" x14ac:dyDescent="0.3">
      <c r="A8" s="300"/>
      <c r="B8" s="62">
        <v>0</v>
      </c>
      <c r="C8" s="62">
        <v>100</v>
      </c>
      <c r="D8" s="62">
        <v>200</v>
      </c>
      <c r="E8" s="128">
        <v>300</v>
      </c>
      <c r="G8" s="233"/>
      <c r="H8" s="133"/>
      <c r="I8" s="239"/>
      <c r="J8" s="254"/>
      <c r="K8" s="161"/>
      <c r="L8" s="159"/>
      <c r="M8" s="159"/>
      <c r="N8" s="159"/>
      <c r="O8" s="159"/>
      <c r="P8" s="159"/>
      <c r="Q8" s="159"/>
      <c r="R8" s="159"/>
      <c r="S8" s="159"/>
      <c r="T8" s="160"/>
      <c r="AM8" s="1" t="str">
        <f>IF($H$35=1,'MIsc. Criteria'!C23,IF($H$35=2,'MIsc. Criteria'!D23,'MIsc. Criteria'!E23))</f>
        <v>14-16</v>
      </c>
    </row>
    <row r="9" spans="1:39" ht="15" customHeight="1" x14ac:dyDescent="0.25">
      <c r="A9" s="297" t="s">
        <v>32</v>
      </c>
      <c r="B9" s="6" t="s">
        <v>13</v>
      </c>
      <c r="C9" s="6" t="s">
        <v>14</v>
      </c>
      <c r="D9" s="6" t="s">
        <v>15</v>
      </c>
      <c r="E9" s="7" t="s">
        <v>16</v>
      </c>
      <c r="G9" s="232" t="str">
        <f>A9</f>
        <v xml:space="preserve"> Cleric Spells</v>
      </c>
      <c r="H9" s="64">
        <v>1</v>
      </c>
      <c r="I9" s="234">
        <f t="shared" ref="I9" si="0">IF(H9=1,B10,IF(H9=2,C10,IF(H9=3,D10,E10)))</f>
        <v>0</v>
      </c>
      <c r="J9" s="254"/>
      <c r="K9" s="162" t="s">
        <v>199</v>
      </c>
      <c r="L9" s="163"/>
      <c r="M9" s="163"/>
      <c r="N9" s="163"/>
      <c r="O9" s="163"/>
      <c r="P9" s="163"/>
      <c r="Q9" s="163"/>
      <c r="R9" s="163"/>
      <c r="S9" s="163"/>
      <c r="T9" s="164"/>
      <c r="AM9" s="1" t="str">
        <f>IF($H$35=1,'MIsc. Criteria'!C24,IF($H$35=2,'MIsc. Criteria'!D24,'MIsc. Criteria'!E24))</f>
        <v>17-20</v>
      </c>
    </row>
    <row r="10" spans="1:39" ht="15.75" thickBot="1" x14ac:dyDescent="0.3">
      <c r="A10" s="298"/>
      <c r="B10" s="62">
        <v>0</v>
      </c>
      <c r="C10" s="62">
        <v>200</v>
      </c>
      <c r="D10" s="62">
        <v>400</v>
      </c>
      <c r="E10" s="128">
        <v>600</v>
      </c>
      <c r="G10" s="232"/>
      <c r="H10" s="64"/>
      <c r="I10" s="234"/>
      <c r="J10" s="254"/>
      <c r="K10" s="162"/>
      <c r="L10" s="163"/>
      <c r="M10" s="163"/>
      <c r="N10" s="163"/>
      <c r="O10" s="163"/>
      <c r="P10" s="163"/>
      <c r="Q10" s="163"/>
      <c r="R10" s="163"/>
      <c r="S10" s="163"/>
      <c r="T10" s="164"/>
      <c r="AM10" s="1" t="str">
        <f>IF($H$35=1,'MIsc. Criteria'!C25,IF($H$35=2,'MIsc. Criteria'!D25,'MIsc. Criteria'!E25))</f>
        <v>21-24</v>
      </c>
    </row>
    <row r="11" spans="1:39" ht="15" customHeight="1" x14ac:dyDescent="0.25">
      <c r="A11" s="295" t="s">
        <v>25</v>
      </c>
      <c r="B11" s="129" t="s">
        <v>13</v>
      </c>
      <c r="C11" s="129" t="s">
        <v>14</v>
      </c>
      <c r="D11" s="129" t="s">
        <v>15</v>
      </c>
      <c r="E11" s="130" t="s">
        <v>16</v>
      </c>
      <c r="G11" s="240" t="str">
        <f>A11</f>
        <v>Magic-User Spells</v>
      </c>
      <c r="H11" s="65">
        <v>1</v>
      </c>
      <c r="I11" s="235">
        <f t="shared" ref="I11" si="1">IF(H11=1,B12,IF(H11=2,C12,IF(H11=3,D12,E12)))</f>
        <v>0</v>
      </c>
      <c r="J11" s="254"/>
      <c r="K11" s="162" t="s">
        <v>200</v>
      </c>
      <c r="L11" s="163"/>
      <c r="M11" s="163"/>
      <c r="N11" s="163"/>
      <c r="O11" s="163"/>
      <c r="P11" s="163"/>
      <c r="Q11" s="163"/>
      <c r="R11" s="163"/>
      <c r="S11" s="163"/>
      <c r="T11" s="164"/>
      <c r="AM11" s="1" t="str">
        <f>IF($H$35=1,'MIsc. Criteria'!C26,IF($H$35=2,'MIsc. Criteria'!D26,'MIsc. Criteria'!E26))</f>
        <v>25-28</v>
      </c>
    </row>
    <row r="12" spans="1:39" ht="15.75" thickBot="1" x14ac:dyDescent="0.3">
      <c r="A12" s="296"/>
      <c r="B12" s="62">
        <v>0</v>
      </c>
      <c r="C12" s="62">
        <v>500</v>
      </c>
      <c r="D12" s="62">
        <v>1000</v>
      </c>
      <c r="E12" s="128">
        <v>2000</v>
      </c>
      <c r="G12" s="240"/>
      <c r="H12" s="65"/>
      <c r="I12" s="235"/>
      <c r="J12" s="254"/>
      <c r="K12" s="162"/>
      <c r="L12" s="163"/>
      <c r="M12" s="163"/>
      <c r="N12" s="163"/>
      <c r="O12" s="163"/>
      <c r="P12" s="163"/>
      <c r="Q12" s="163"/>
      <c r="R12" s="163"/>
      <c r="S12" s="163"/>
      <c r="T12" s="164"/>
      <c r="AM12" s="1" t="str">
        <f>IF($H$35=1,'MIsc. Criteria'!C27,IF($H$35=2,'MIsc. Criteria'!D27,'MIsc. Criteria'!E27))</f>
        <v>29-32</v>
      </c>
    </row>
    <row r="13" spans="1:39" ht="15" customHeight="1" x14ac:dyDescent="0.25">
      <c r="A13" s="297" t="s">
        <v>2</v>
      </c>
      <c r="B13" s="6" t="s">
        <v>13</v>
      </c>
      <c r="C13" s="6" t="s">
        <v>34</v>
      </c>
      <c r="D13" s="6" t="s">
        <v>33</v>
      </c>
      <c r="E13" s="7" t="s">
        <v>17</v>
      </c>
      <c r="G13" s="232" t="str">
        <f>A13</f>
        <v>Unique Class Abilities</v>
      </c>
      <c r="H13" s="64">
        <v>3</v>
      </c>
      <c r="I13" s="234">
        <f t="shared" ref="I13" si="2">IF(H13=1,B14,IF(H13=2,C14,IF(H13=3,D14,E14)))</f>
        <v>200</v>
      </c>
      <c r="J13" s="254"/>
      <c r="K13" s="155" t="s">
        <v>201</v>
      </c>
      <c r="L13" s="156"/>
      <c r="M13" s="156"/>
      <c r="N13" s="156"/>
      <c r="O13" s="156"/>
      <c r="P13" s="156"/>
      <c r="Q13" s="156"/>
      <c r="R13" s="156"/>
      <c r="S13" s="156"/>
      <c r="T13" s="157"/>
      <c r="AM13" s="1" t="str">
        <f>IF($H$35=1,'MIsc. Criteria'!C28,IF($H$35=2,'MIsc. Criteria'!D28,'MIsc. Criteria'!E28))</f>
        <v>33+</v>
      </c>
    </row>
    <row r="14" spans="1:39" ht="15.75" thickBot="1" x14ac:dyDescent="0.3">
      <c r="A14" s="298"/>
      <c r="B14" s="62">
        <v>0</v>
      </c>
      <c r="C14" s="62">
        <v>100</v>
      </c>
      <c r="D14" s="62">
        <v>200</v>
      </c>
      <c r="E14" s="128">
        <v>600</v>
      </c>
      <c r="G14" s="232"/>
      <c r="H14" s="64"/>
      <c r="I14" s="234"/>
      <c r="J14" s="254"/>
      <c r="K14" s="155"/>
      <c r="L14" s="156"/>
      <c r="M14" s="156"/>
      <c r="N14" s="156"/>
      <c r="O14" s="156"/>
      <c r="P14" s="156"/>
      <c r="Q14" s="156"/>
      <c r="R14" s="156"/>
      <c r="S14" s="156"/>
      <c r="T14" s="157"/>
    </row>
    <row r="15" spans="1:39" ht="15" customHeight="1" x14ac:dyDescent="0.25">
      <c r="A15" s="299" t="s">
        <v>4</v>
      </c>
      <c r="B15" s="129" t="s">
        <v>13</v>
      </c>
      <c r="C15" s="129" t="s">
        <v>34</v>
      </c>
      <c r="D15" s="129" t="s">
        <v>33</v>
      </c>
      <c r="E15" s="130" t="s">
        <v>17</v>
      </c>
      <c r="G15" s="233" t="str">
        <f>A15</f>
        <v>Racial Abilities</v>
      </c>
      <c r="H15" s="133">
        <v>1</v>
      </c>
      <c r="I15" s="239">
        <f t="shared" ref="I15" si="3">IF(H15=1,B16,IF(H15=2,C16,IF(H15=3,D16,E16)))</f>
        <v>0</v>
      </c>
      <c r="J15" s="254"/>
      <c r="K15" s="158" t="s">
        <v>205</v>
      </c>
      <c r="L15" s="159"/>
      <c r="M15" s="159"/>
      <c r="N15" s="159"/>
      <c r="O15" s="159"/>
      <c r="P15" s="159"/>
      <c r="Q15" s="159"/>
      <c r="R15" s="159"/>
      <c r="S15" s="159"/>
      <c r="T15" s="160"/>
    </row>
    <row r="16" spans="1:39" ht="15.75" thickBot="1" x14ac:dyDescent="0.3">
      <c r="A16" s="300"/>
      <c r="B16" s="62">
        <v>0</v>
      </c>
      <c r="C16" s="62">
        <v>100</v>
      </c>
      <c r="D16" s="62">
        <v>200</v>
      </c>
      <c r="E16" s="128">
        <v>300</v>
      </c>
      <c r="G16" s="233"/>
      <c r="H16" s="133"/>
      <c r="I16" s="239"/>
      <c r="J16" s="254"/>
      <c r="K16" s="161"/>
      <c r="L16" s="159"/>
      <c r="M16" s="159"/>
      <c r="N16" s="159"/>
      <c r="O16" s="159"/>
      <c r="P16" s="159"/>
      <c r="Q16" s="159"/>
      <c r="R16" s="159"/>
      <c r="S16" s="159"/>
      <c r="T16" s="160"/>
    </row>
    <row r="17" spans="1:20" ht="15" customHeight="1" x14ac:dyDescent="0.25">
      <c r="A17" s="297" t="s">
        <v>5</v>
      </c>
      <c r="B17" s="6" t="s">
        <v>13</v>
      </c>
      <c r="C17" s="6" t="s">
        <v>34</v>
      </c>
      <c r="D17" s="6" t="s">
        <v>33</v>
      </c>
      <c r="E17" s="7" t="s">
        <v>17</v>
      </c>
      <c r="G17" s="232" t="str">
        <f>A17</f>
        <v>Special Skills</v>
      </c>
      <c r="H17" s="64">
        <v>4</v>
      </c>
      <c r="I17" s="234">
        <f t="shared" ref="I17" si="4">IF(H17=1,B18,IF(H17=2,C18,IF(H17=3,D18,E18)))</f>
        <v>600</v>
      </c>
      <c r="J17" s="254"/>
      <c r="K17" s="155" t="s">
        <v>36</v>
      </c>
      <c r="L17" s="156"/>
      <c r="M17" s="156"/>
      <c r="N17" s="156"/>
      <c r="O17" s="156"/>
      <c r="P17" s="156"/>
      <c r="Q17" s="156"/>
      <c r="R17" s="156"/>
      <c r="S17" s="156"/>
      <c r="T17" s="157"/>
    </row>
    <row r="18" spans="1:20" ht="15.75" thickBot="1" x14ac:dyDescent="0.3">
      <c r="A18" s="298"/>
      <c r="B18" s="62">
        <v>0</v>
      </c>
      <c r="C18" s="62">
        <v>50</v>
      </c>
      <c r="D18" s="62">
        <v>200</v>
      </c>
      <c r="E18" s="128">
        <v>600</v>
      </c>
      <c r="G18" s="232"/>
      <c r="H18" s="64"/>
      <c r="I18" s="234"/>
      <c r="J18" s="254"/>
      <c r="K18" s="155"/>
      <c r="L18" s="156"/>
      <c r="M18" s="156"/>
      <c r="N18" s="156"/>
      <c r="O18" s="156"/>
      <c r="P18" s="156"/>
      <c r="Q18" s="156"/>
      <c r="R18" s="156"/>
      <c r="S18" s="156"/>
      <c r="T18" s="157"/>
    </row>
    <row r="19" spans="1:20" ht="15" customHeight="1" x14ac:dyDescent="0.25">
      <c r="A19" s="295" t="s">
        <v>21</v>
      </c>
      <c r="B19" s="129" t="s">
        <v>30</v>
      </c>
      <c r="C19" s="129" t="s">
        <v>22</v>
      </c>
      <c r="D19" s="129" t="s">
        <v>28</v>
      </c>
      <c r="E19" s="130" t="s">
        <v>23</v>
      </c>
      <c r="G19" s="240" t="str">
        <f>A19</f>
        <v>Weapon Permitted</v>
      </c>
      <c r="H19" s="65">
        <v>3</v>
      </c>
      <c r="I19" s="235">
        <f t="shared" ref="I19" si="5">IF(H19=1,B20,IF(H19=2,C20,IF(H19=3,D20,E20)))</f>
        <v>150</v>
      </c>
      <c r="J19" s="254"/>
      <c r="K19" s="155" t="s">
        <v>202</v>
      </c>
      <c r="L19" s="156"/>
      <c r="M19" s="156"/>
      <c r="N19" s="156"/>
      <c r="O19" s="156"/>
      <c r="P19" s="156"/>
      <c r="Q19" s="156"/>
      <c r="R19" s="156"/>
      <c r="S19" s="156"/>
      <c r="T19" s="157"/>
    </row>
    <row r="20" spans="1:20" ht="15.75" thickBot="1" x14ac:dyDescent="0.3">
      <c r="A20" s="296"/>
      <c r="B20" s="62">
        <v>-100</v>
      </c>
      <c r="C20" s="62">
        <v>0</v>
      </c>
      <c r="D20" s="62">
        <v>150</v>
      </c>
      <c r="E20" s="128">
        <v>300</v>
      </c>
      <c r="G20" s="240"/>
      <c r="H20" s="65"/>
      <c r="I20" s="235"/>
      <c r="J20" s="254"/>
      <c r="K20" s="155"/>
      <c r="L20" s="156"/>
      <c r="M20" s="156"/>
      <c r="N20" s="156"/>
      <c r="O20" s="156"/>
      <c r="P20" s="156"/>
      <c r="Q20" s="156"/>
      <c r="R20" s="156"/>
      <c r="S20" s="156"/>
      <c r="T20" s="157"/>
    </row>
    <row r="21" spans="1:20" ht="15" customHeight="1" x14ac:dyDescent="0.25">
      <c r="A21" s="297" t="s">
        <v>24</v>
      </c>
      <c r="B21" s="6" t="s">
        <v>13</v>
      </c>
      <c r="C21" s="6" t="s">
        <v>29</v>
      </c>
      <c r="D21" s="6" t="s">
        <v>28</v>
      </c>
      <c r="E21" s="7" t="s">
        <v>23</v>
      </c>
      <c r="G21" s="232" t="str">
        <f>A21</f>
        <v>Armor Permitted</v>
      </c>
      <c r="H21" s="64">
        <v>2</v>
      </c>
      <c r="I21" s="234">
        <f t="shared" ref="I21" si="6">IF(H21=1,B22,IF(H21=2,C22,IF(H21=3,D22,E22)))</f>
        <v>50</v>
      </c>
      <c r="J21" s="254"/>
      <c r="K21" s="162" t="s">
        <v>203</v>
      </c>
      <c r="L21" s="163"/>
      <c r="M21" s="163"/>
      <c r="N21" s="163"/>
      <c r="O21" s="163"/>
      <c r="P21" s="163"/>
      <c r="Q21" s="163"/>
      <c r="R21" s="163"/>
      <c r="S21" s="163"/>
      <c r="T21" s="164"/>
    </row>
    <row r="22" spans="1:20" ht="15.75" thickBot="1" x14ac:dyDescent="0.3">
      <c r="A22" s="298"/>
      <c r="B22" s="62">
        <v>0</v>
      </c>
      <c r="C22" s="62">
        <v>50</v>
      </c>
      <c r="D22" s="62">
        <v>150</v>
      </c>
      <c r="E22" s="128">
        <v>300</v>
      </c>
      <c r="G22" s="232"/>
      <c r="H22" s="64"/>
      <c r="I22" s="234"/>
      <c r="J22" s="254"/>
      <c r="K22" s="162"/>
      <c r="L22" s="163"/>
      <c r="M22" s="163"/>
      <c r="N22" s="163"/>
      <c r="O22" s="163"/>
      <c r="P22" s="163"/>
      <c r="Q22" s="163"/>
      <c r="R22" s="163"/>
      <c r="S22" s="163"/>
      <c r="T22" s="164"/>
    </row>
    <row r="23" spans="1:20" ht="15" customHeight="1" thickBot="1" x14ac:dyDescent="0.3">
      <c r="G23" s="188" t="s">
        <v>44</v>
      </c>
      <c r="H23" s="189"/>
      <c r="I23" s="226">
        <f>SUM(I3:I22)</f>
        <v>1250</v>
      </c>
      <c r="J23" s="255" t="s">
        <v>27</v>
      </c>
      <c r="K23" s="165"/>
      <c r="L23" s="166"/>
      <c r="M23" s="166"/>
      <c r="N23" s="166"/>
      <c r="O23" s="166"/>
      <c r="P23" s="166"/>
      <c r="Q23" s="166"/>
      <c r="R23" s="166"/>
      <c r="S23" s="166"/>
      <c r="T23" s="167"/>
    </row>
    <row r="24" spans="1:20" ht="15" customHeight="1" thickBot="1" x14ac:dyDescent="0.3">
      <c r="A24" s="211" t="s">
        <v>40</v>
      </c>
      <c r="B24" s="228" t="s">
        <v>37</v>
      </c>
      <c r="C24" s="229"/>
      <c r="D24" s="230" t="s">
        <v>177</v>
      </c>
      <c r="E24" s="231"/>
      <c r="G24" s="190"/>
      <c r="H24" s="191"/>
      <c r="I24" s="227"/>
      <c r="J24" s="256"/>
      <c r="K24" s="168"/>
      <c r="L24" s="169"/>
      <c r="M24" s="169"/>
      <c r="N24" s="169"/>
      <c r="O24" s="169"/>
      <c r="P24" s="169"/>
      <c r="Q24" s="169"/>
      <c r="R24" s="169"/>
      <c r="S24" s="169"/>
      <c r="T24" s="170"/>
    </row>
    <row r="25" spans="1:20" ht="15.75" thickBot="1" x14ac:dyDescent="0.3">
      <c r="A25" s="212"/>
      <c r="B25" s="24" t="s">
        <v>38</v>
      </c>
      <c r="C25" s="25" t="s">
        <v>39</v>
      </c>
      <c r="D25" s="184"/>
      <c r="E25" s="185"/>
    </row>
    <row r="26" spans="1:20" ht="15.75" thickBot="1" x14ac:dyDescent="0.3">
      <c r="A26" s="63">
        <v>2</v>
      </c>
      <c r="B26" s="26">
        <v>1</v>
      </c>
      <c r="C26" s="27">
        <v>0</v>
      </c>
      <c r="D26" s="186"/>
      <c r="E26" s="187"/>
      <c r="G26" s="182" t="s">
        <v>80</v>
      </c>
      <c r="H26" s="183"/>
      <c r="K26" s="173" t="str">
        <f>CONCATENATE("Saving Throws:   ",LOOKUP(H27,'MIsc. Criteria'!B3:B13,'MIsc. Criteria'!AE14:AE24))</f>
        <v>Saving Throws:   Thief</v>
      </c>
      <c r="L26" s="174"/>
      <c r="M26" s="174"/>
      <c r="N26" s="174"/>
      <c r="O26" s="174"/>
      <c r="P26" s="175"/>
    </row>
    <row r="27" spans="1:20" ht="15" customHeight="1" x14ac:dyDescent="0.25">
      <c r="A27" s="22">
        <f>IF(A26=1,100000,IF(A26=2,120000,IF(A26=3,150000,A38)))</f>
        <v>120000</v>
      </c>
      <c r="B27" s="26">
        <v>2</v>
      </c>
      <c r="C27" s="28">
        <f>ROUNDDOWN(I23,-2)+D25</f>
        <v>1200</v>
      </c>
      <c r="D27" s="197" t="s">
        <v>192</v>
      </c>
      <c r="E27" s="198"/>
      <c r="G27" s="265" t="s">
        <v>81</v>
      </c>
      <c r="H27" s="66">
        <v>9</v>
      </c>
      <c r="K27" s="203" t="s">
        <v>38</v>
      </c>
      <c r="L27" s="176" t="s">
        <v>48</v>
      </c>
      <c r="M27" s="171" t="s">
        <v>50</v>
      </c>
      <c r="N27" s="176" t="s">
        <v>49</v>
      </c>
      <c r="O27" s="171" t="s">
        <v>82</v>
      </c>
      <c r="P27" s="178" t="s">
        <v>51</v>
      </c>
      <c r="S27" s="34"/>
    </row>
    <row r="28" spans="1:20" ht="15" customHeight="1" thickBot="1" x14ac:dyDescent="0.3">
      <c r="A28" s="195" t="s">
        <v>190</v>
      </c>
      <c r="B28" s="26">
        <v>3</v>
      </c>
      <c r="C28" s="28">
        <f>C27*2</f>
        <v>2400</v>
      </c>
      <c r="D28" s="197"/>
      <c r="E28" s="198"/>
      <c r="G28" s="266"/>
      <c r="H28" s="38" t="b">
        <f>IF(H27=1,'MIsc. Criteria'!C3,IF(H27=2,'MIsc. Criteria'!C4,IF(H27=3,('MIsc. Criteria'!C5,IF(H27=4,'MIsc. Criteria'!C6,IF(H27=5,'MIsc. Criteria'!C7,IF(H27=7,'MIsc. Criteria'!C8,IF(H27=7,'MIsc. Criteria'!C9,IF(H27=8,'MIsc. Criteria'!C10,IF(H27=9,'MIsc. Criteria'!C11,IF(H27=10,'MIsc. Criteria'!C12,'MIsc. Criteria'!C13)))))))))))</f>
        <v>0</v>
      </c>
      <c r="K28" s="204"/>
      <c r="L28" s="177"/>
      <c r="M28" s="172"/>
      <c r="N28" s="177"/>
      <c r="O28" s="172"/>
      <c r="P28" s="179"/>
      <c r="S28" s="34"/>
    </row>
    <row r="29" spans="1:20" x14ac:dyDescent="0.25">
      <c r="A29" s="195"/>
      <c r="B29" s="29">
        <v>4</v>
      </c>
      <c r="C29" s="30">
        <f t="shared" ref="C29:C30" si="7">C28*2</f>
        <v>4800</v>
      </c>
      <c r="D29" s="197"/>
      <c r="E29" s="198"/>
      <c r="G29" s="267" t="s">
        <v>93</v>
      </c>
      <c r="H29" s="67">
        <v>1</v>
      </c>
      <c r="K29" s="39" t="str">
        <f>IF($H$27&lt;6,'MIsc. Criteria'!C18,IF($H$27=6,'MIsc. Criteria'!E18,IF($H$27&lt;11,'MIsc. Criteria'!D18,AM3)))</f>
        <v>1-3</v>
      </c>
      <c r="L29" s="45">
        <f>LOOKUP($H$27,'MIsc. Criteria'!$B3:$B13,'MIsc. Criteria'!D3:D13)</f>
        <v>10</v>
      </c>
      <c r="M29" s="40">
        <f>LOOKUP($H$27,'MIsc. Criteria'!$B3:$B13,'MIsc. Criteria'!E3:E13)</f>
        <v>11</v>
      </c>
      <c r="N29" s="45">
        <f>LOOKUP($H$27,'MIsc. Criteria'!$B3:$B13,'MIsc. Criteria'!F3:F13)</f>
        <v>12</v>
      </c>
      <c r="O29" s="40">
        <f>LOOKUP($H$27,'MIsc. Criteria'!$B3:$B13,'MIsc. Criteria'!G3:G13)</f>
        <v>12</v>
      </c>
      <c r="P29" s="49">
        <f>LOOKUP($H$27,'MIsc. Criteria'!$B3:$B13,'MIsc. Criteria'!H3:H13)</f>
        <v>15</v>
      </c>
      <c r="S29" s="34"/>
    </row>
    <row r="30" spans="1:20" x14ac:dyDescent="0.25">
      <c r="A30" s="195"/>
      <c r="B30" s="29">
        <v>5</v>
      </c>
      <c r="C30" s="30">
        <f t="shared" si="7"/>
        <v>9600</v>
      </c>
      <c r="D30" s="197"/>
      <c r="E30" s="198"/>
      <c r="G30" s="258"/>
      <c r="H30" s="68"/>
      <c r="K30" s="37" t="str">
        <f>IF($H$27&lt;6,'MIsc. Criteria'!C19,IF($H$27=6,'MIsc. Criteria'!E19,IF($H$27&lt;11,'MIsc. Criteria'!D19,AM4)))</f>
        <v>3-6</v>
      </c>
      <c r="L30" s="46">
        <f>LOOKUP(L$29,'MIsc. Criteria'!$G$16:$G$25,'MIsc. Criteria'!$H$16:$H$25)</f>
        <v>8</v>
      </c>
      <c r="M30" s="36">
        <f>LOOKUP(M$29,'MIsc. Criteria'!$G$16:$G$25,'MIsc. Criteria'!$H$16:$H$25)</f>
        <v>9</v>
      </c>
      <c r="N30" s="46">
        <f>LOOKUP(N$29,'MIsc. Criteria'!$G$16:$G$25,'MIsc. Criteria'!$H$16:$H$25)</f>
        <v>10</v>
      </c>
      <c r="O30" s="36">
        <f>LOOKUP(O$29,'MIsc. Criteria'!$G$16:$G$25,'MIsc. Criteria'!$H$16:$H$25)</f>
        <v>10</v>
      </c>
      <c r="P30" s="50">
        <f>LOOKUP(P$29,'MIsc. Criteria'!$G$16:$G$25,'MIsc. Criteria'!$H$16:$H$25)</f>
        <v>13</v>
      </c>
      <c r="S30" s="34"/>
    </row>
    <row r="31" spans="1:20" x14ac:dyDescent="0.25">
      <c r="A31" s="195"/>
      <c r="B31" s="29">
        <v>6</v>
      </c>
      <c r="C31" s="30">
        <f>IF(AND(A26=2,H3=2),ROUNDUP(C30*2,-3),IF(AND(A26=1,H3=2),ROUNDUP(C30*2,-4)-5000,ROUND(C30*2,-2)))</f>
        <v>19200</v>
      </c>
      <c r="D31" s="197"/>
      <c r="E31" s="198"/>
      <c r="G31" s="180" t="s">
        <v>94</v>
      </c>
      <c r="H31" s="69">
        <v>2</v>
      </c>
      <c r="K31" s="37" t="str">
        <f>IF($H$27&lt;6,'MIsc. Criteria'!C20,IF($H$27=6,'MIsc. Criteria'!E20,IF($H$27&lt;11,'MIsc. Criteria'!D20,AM5)))</f>
        <v>7-9</v>
      </c>
      <c r="L31" s="46">
        <f>LOOKUP(L$29,'MIsc. Criteria'!$G$16:$G$25,'MIsc. Criteria'!$I$16:$I$25)</f>
        <v>6</v>
      </c>
      <c r="M31" s="36">
        <f>LOOKUP(M$29,'MIsc. Criteria'!$G$16:$G$25,'MIsc. Criteria'!$I$16:$I$25)</f>
        <v>7</v>
      </c>
      <c r="N31" s="46">
        <f>LOOKUP(N$29,'MIsc. Criteria'!$G$16:$G$25,'MIsc. Criteria'!$I$16:$I$25)</f>
        <v>8</v>
      </c>
      <c r="O31" s="36">
        <f>LOOKUP(O$29,'MIsc. Criteria'!$G$16:$G$25,'MIsc. Criteria'!$I$16:$I$25)</f>
        <v>8</v>
      </c>
      <c r="P31" s="50">
        <f>LOOKUP(P$29,'MIsc. Criteria'!$G$16:$G$25,'MIsc. Criteria'!$I$16:$I$25)</f>
        <v>11</v>
      </c>
      <c r="S31" s="34"/>
    </row>
    <row r="32" spans="1:20" x14ac:dyDescent="0.25">
      <c r="A32" s="195"/>
      <c r="B32" s="26">
        <v>7</v>
      </c>
      <c r="C32" s="28">
        <f>IF(A26=1,ROUND(C31*2,-4),C31*2)</f>
        <v>38400</v>
      </c>
      <c r="D32" s="197"/>
      <c r="E32" s="198"/>
      <c r="G32" s="181"/>
      <c r="H32" s="70"/>
      <c r="K32" s="41" t="str">
        <f>IF($H$27&lt;6,'MIsc. Criteria'!C21,IF($H$27=6,'MIsc. Criteria'!E21,IF($H$27&lt;11,'MIsc. Criteria'!D21,AM6)))</f>
        <v>10-12</v>
      </c>
      <c r="L32" s="47">
        <f>IF(K32="-","-",LOOKUP(L$29,'MIsc. Criteria'!$G$16:$G$25,'MIsc. Criteria'!$J$16:$J$25))</f>
        <v>5</v>
      </c>
      <c r="M32" s="42">
        <f>IF(L32="-","-",LOOKUP(M$29,'MIsc. Criteria'!$G$16:$G$25,'MIsc. Criteria'!$J$16:$J$25))</f>
        <v>6</v>
      </c>
      <c r="N32" s="47">
        <f>IF(M32="-","-",LOOKUP(N$29,'MIsc. Criteria'!$G$16:$G$25,'MIsc. Criteria'!$J$16:$J$25))</f>
        <v>7</v>
      </c>
      <c r="O32" s="42">
        <f>IF(N32="-","-",LOOKUP(O$29,'MIsc. Criteria'!$G$16:$G$25,'MIsc. Criteria'!$J$16:$J$25))</f>
        <v>7</v>
      </c>
      <c r="P32" s="51">
        <f>IF(O32="-","-",LOOKUP(P$29,'MIsc. Criteria'!$G$16:$G$25,'MIsc. Criteria'!$J$16:$J$25))</f>
        <v>10</v>
      </c>
      <c r="S32" s="34"/>
    </row>
    <row r="33" spans="1:19" ht="15" customHeight="1" x14ac:dyDescent="0.25">
      <c r="A33" s="195"/>
      <c r="B33" s="26">
        <v>8</v>
      </c>
      <c r="C33" s="28">
        <f>IF(A26=2, ROUNDDOWN(C32*2,-4),ROUND(C32*2,-4))-IF(A26=3,10000,0)</f>
        <v>70000</v>
      </c>
      <c r="D33" s="197"/>
      <c r="E33" s="198"/>
      <c r="G33" s="257" t="s">
        <v>100</v>
      </c>
      <c r="H33" s="67">
        <v>3</v>
      </c>
      <c r="K33" s="41" t="str">
        <f>IF($H$27&lt;6,'MIsc. Criteria'!C22,IF($H$27=6,'MIsc. Criteria'!E22,IF($H$27&lt;11,'MIsc. Criteria'!D22,AM7)))</f>
        <v>13-15</v>
      </c>
      <c r="L33" s="47">
        <f>LOOKUP(L$29,'MIsc. Criteria'!$G$16:$G$25,'MIsc. Criteria'!$K$16:$K$25)</f>
        <v>4</v>
      </c>
      <c r="M33" s="42">
        <f>LOOKUP(M$29,'MIsc. Criteria'!$G$16:$G$25,'MIsc. Criteria'!$K$16:$K$25)</f>
        <v>5</v>
      </c>
      <c r="N33" s="47">
        <f>LOOKUP(N$29,'MIsc. Criteria'!$G$16:$G$25,'MIsc. Criteria'!$K$16:$K$25)</f>
        <v>6</v>
      </c>
      <c r="O33" s="42">
        <f>LOOKUP(O$29,'MIsc. Criteria'!$G$16:$G$25,'MIsc. Criteria'!$K$16:$K$25)</f>
        <v>6</v>
      </c>
      <c r="P33" s="51">
        <f>LOOKUP(P$29,'MIsc. Criteria'!$G$16:$G$25,'MIsc. Criteria'!$K$16:$K$25)</f>
        <v>9</v>
      </c>
      <c r="S33" s="34"/>
    </row>
    <row r="34" spans="1:19" ht="15.75" thickBot="1" x14ac:dyDescent="0.3">
      <c r="A34" s="195"/>
      <c r="B34" s="26">
        <v>9</v>
      </c>
      <c r="C34" s="28">
        <f>IF(C33+C$33&gt;100,C33+C$33,C33*2)</f>
        <v>140000</v>
      </c>
      <c r="D34" s="199"/>
      <c r="E34" s="200"/>
      <c r="G34" s="258"/>
      <c r="H34" s="68"/>
      <c r="K34" s="41" t="str">
        <f>IF($H$27&lt;6,'MIsc. Criteria'!C23,IF($H$27=6,'MIsc. Criteria'!E23,IF($H$27&lt;11,'MIsc. Criteria'!D23,AM8)))</f>
        <v>16-18</v>
      </c>
      <c r="L34" s="47">
        <f>LOOKUP(L$29,'MIsc. Criteria'!$G$16:$G$25,'MIsc. Criteria'!$L$16:$L$25)</f>
        <v>4</v>
      </c>
      <c r="M34" s="42">
        <f>LOOKUP(M$29,'MIsc. Criteria'!$G$16:$G$25,'MIsc. Criteria'!$L$16:$L$25)</f>
        <v>4</v>
      </c>
      <c r="N34" s="47">
        <f>LOOKUP(N$29,'MIsc. Criteria'!$G$16:$G$25,'MIsc. Criteria'!$L$16:$L$25)</f>
        <v>5</v>
      </c>
      <c r="O34" s="42">
        <f>LOOKUP(O$29,'MIsc. Criteria'!$G$16:$G$25,'MIsc. Criteria'!$L$16:$L$25)</f>
        <v>5</v>
      </c>
      <c r="P34" s="51">
        <f>LOOKUP(P$29,'MIsc. Criteria'!$G$16:$G$25,'MIsc. Criteria'!$L$16:$L$25)</f>
        <v>8</v>
      </c>
      <c r="S34" s="34"/>
    </row>
    <row r="35" spans="1:19" ht="15.75" customHeight="1" x14ac:dyDescent="0.25">
      <c r="A35" s="195"/>
      <c r="B35" s="29">
        <v>10</v>
      </c>
      <c r="C35" s="30">
        <f>C34+A$27</f>
        <v>260000</v>
      </c>
      <c r="G35" s="251" t="s">
        <v>96</v>
      </c>
      <c r="H35" s="69">
        <v>1</v>
      </c>
      <c r="K35" s="37" t="str">
        <f>IF($H$27&lt;6,'MIsc. Criteria'!C24,IF($H$27=6,'MIsc. Criteria'!E24,IF($H$27&lt;11,'MIsc. Criteria'!D24,AM9)))</f>
        <v>19-21</v>
      </c>
      <c r="L35" s="46">
        <f>LOOKUP(L$29,'MIsc. Criteria'!$G$16:$G$25,'MIsc. Criteria'!$M$16:$M$25)</f>
        <v>3</v>
      </c>
      <c r="M35" s="36">
        <f>LOOKUP(M$29,'MIsc. Criteria'!$G$16:$G$25,'MIsc. Criteria'!$M$16:$M$25)</f>
        <v>4</v>
      </c>
      <c r="N35" s="46">
        <f>LOOKUP(N$29,'MIsc. Criteria'!$G$16:$G$25,'MIsc. Criteria'!$M$16:$M$25)</f>
        <v>4</v>
      </c>
      <c r="O35" s="36">
        <f>LOOKUP(O$29,'MIsc. Criteria'!$G$16:$G$25,'MIsc. Criteria'!$M$16:$M$25)</f>
        <v>4</v>
      </c>
      <c r="P35" s="50">
        <f>LOOKUP(P$29,'MIsc. Criteria'!$G$16:$G$25,'MIsc. Criteria'!$M$16:$M$25)</f>
        <v>7</v>
      </c>
      <c r="S35" s="34"/>
    </row>
    <row r="36" spans="1:19" ht="15.75" thickBot="1" x14ac:dyDescent="0.3">
      <c r="A36" s="196"/>
      <c r="B36" s="29">
        <v>11</v>
      </c>
      <c r="C36" s="30">
        <f t="shared" ref="C36:C61" si="8">C35+A$27</f>
        <v>380000</v>
      </c>
      <c r="D36" s="214" t="s">
        <v>193</v>
      </c>
      <c r="E36" s="215"/>
      <c r="F36" s="216"/>
      <c r="G36" s="252"/>
      <c r="H36" s="71"/>
      <c r="K36" s="37" t="str">
        <f>IF($H$27&lt;6,'MIsc. Criteria'!C25,IF($H$27=6,'MIsc. Criteria'!E25,IF($H$27&lt;11,'MIsc. Criteria'!D25,AM10)))</f>
        <v>22-24</v>
      </c>
      <c r="L36" s="46">
        <f>IF(K36="-","-",LOOKUP(L$29,'MIsc. Criteria'!$G$16:$G$25,'MIsc. Criteria'!$N$16:$N$25))</f>
        <v>3</v>
      </c>
      <c r="M36" s="36">
        <f>IF(L36="-","-",LOOKUP(M$29,'MIsc. Criteria'!$G$16:$G$25,'MIsc. Criteria'!$N$16:$N$25))</f>
        <v>3</v>
      </c>
      <c r="N36" s="46">
        <f>IF(M36="-","-",LOOKUP(N$29,'MIsc. Criteria'!$G$16:$G$25,'MIsc. Criteria'!$N$16:$N$25))</f>
        <v>3</v>
      </c>
      <c r="O36" s="36">
        <f>IF(N36="-","-",LOOKUP(O$29,'MIsc. Criteria'!$G$16:$G$25,'MIsc. Criteria'!$N$16:$N$25))</f>
        <v>3</v>
      </c>
      <c r="P36" s="50">
        <f>IF(O36="-","-",LOOKUP(P$29,'MIsc. Criteria'!$G$16:$G$25,'MIsc. Criteria'!$N$16:$N$25))</f>
        <v>6</v>
      </c>
      <c r="S36" s="34"/>
    </row>
    <row r="37" spans="1:19" ht="15.75" thickBot="1" x14ac:dyDescent="0.3">
      <c r="A37" s="23" t="s">
        <v>46</v>
      </c>
      <c r="B37" s="29">
        <v>12</v>
      </c>
      <c r="C37" s="30">
        <f t="shared" si="8"/>
        <v>500000</v>
      </c>
      <c r="D37" s="214"/>
      <c r="E37" s="215"/>
      <c r="F37" s="216"/>
      <c r="K37" s="37" t="str">
        <f>IF($H$27&lt;6,'MIsc. Criteria'!C26,IF($H$27=6,'MIsc. Criteria'!E26,IF($H$27&lt;11,'MIsc. Criteria'!D26,AM11)))</f>
        <v>25-28</v>
      </c>
      <c r="L37" s="46">
        <f>LOOKUP(L$29,'MIsc. Criteria'!$G$16:$G$25,'MIsc. Criteria'!$O$16:$O$25)</f>
        <v>2</v>
      </c>
      <c r="M37" s="36">
        <f>LOOKUP(M$29,'MIsc. Criteria'!$G$16:$G$25,'MIsc. Criteria'!$O$16:$O$25)</f>
        <v>3</v>
      </c>
      <c r="N37" s="46">
        <f>LOOKUP(N$29,'MIsc. Criteria'!$G$16:$G$25,'MIsc. Criteria'!$O$16:$O$25)</f>
        <v>3</v>
      </c>
      <c r="O37" s="36">
        <f>LOOKUP(O$29,'MIsc. Criteria'!$G$16:$G$25,'MIsc. Criteria'!$O$16:$O$25)</f>
        <v>3</v>
      </c>
      <c r="P37" s="50">
        <f>LOOKUP(P$29,'MIsc. Criteria'!$G$16:$G$25,'MIsc. Criteria'!$O$16:$O$25)</f>
        <v>5</v>
      </c>
      <c r="S37" s="34"/>
    </row>
    <row r="38" spans="1:19" ht="15.75" thickBot="1" x14ac:dyDescent="0.3">
      <c r="A38" s="201"/>
      <c r="B38" s="26">
        <v>13</v>
      </c>
      <c r="C38" s="28">
        <f t="shared" si="8"/>
        <v>620000</v>
      </c>
      <c r="D38" s="217" t="s">
        <v>194</v>
      </c>
      <c r="E38" s="218"/>
      <c r="F38" s="218"/>
      <c r="G38" s="205" t="s">
        <v>128</v>
      </c>
      <c r="H38" s="206"/>
      <c r="K38" s="41" t="str">
        <f>IF($H$27&lt;6,'MIsc. Criteria'!C27,IF($H$27=6,'MIsc. Criteria'!E27,IF($H$27&lt;11,'MIsc. Criteria'!D27,AM12)))</f>
        <v>29-32</v>
      </c>
      <c r="L38" s="47">
        <f>LOOKUP(L$29,'MIsc. Criteria'!$G$16:$G$25,'MIsc. Criteria'!$P$16:$P$25)</f>
        <v>2</v>
      </c>
      <c r="M38" s="42">
        <f>LOOKUP(M$29,'MIsc. Criteria'!$G$16:$G$25,'MIsc. Criteria'!$P$16:$P$25)</f>
        <v>2</v>
      </c>
      <c r="N38" s="47">
        <f>LOOKUP(N$29,'MIsc. Criteria'!$G$16:$G$25,'MIsc. Criteria'!$P$16:$P$25)</f>
        <v>2</v>
      </c>
      <c r="O38" s="42">
        <f>LOOKUP(O$29,'MIsc. Criteria'!$G$16:$G$25,'MIsc. Criteria'!$P$16:$P$25)</f>
        <v>2</v>
      </c>
      <c r="P38" s="51">
        <f>LOOKUP(P$29,'MIsc. Criteria'!$G$16:$G$25,'MIsc. Criteria'!$P$16:$P$25)</f>
        <v>4</v>
      </c>
    </row>
    <row r="39" spans="1:19" ht="15.75" thickBot="1" x14ac:dyDescent="0.3">
      <c r="A39" s="202"/>
      <c r="B39" s="26">
        <v>14</v>
      </c>
      <c r="C39" s="28">
        <f t="shared" si="8"/>
        <v>740000</v>
      </c>
      <c r="D39" s="219"/>
      <c r="E39" s="218"/>
      <c r="F39" s="218"/>
      <c r="G39" s="211" t="s">
        <v>126</v>
      </c>
      <c r="H39" s="72">
        <v>2</v>
      </c>
      <c r="K39" s="43" t="str">
        <f>IF($H$27&lt;6,'MIsc. Criteria'!C28,IF($H$27=6,'MIsc. Criteria'!E28,IF($H$27&lt;11,'MIsc. Criteria'!D28,AM13)))</f>
        <v>33+</v>
      </c>
      <c r="L39" s="48">
        <f>LOOKUP(L$29,'MIsc. Criteria'!$G$16:$G$25,'MIsc. Criteria'!$Q$16:$Q$25)</f>
        <v>2</v>
      </c>
      <c r="M39" s="44">
        <f>LOOKUP(M$29,'MIsc. Criteria'!$G$16:$G$25,'MIsc. Criteria'!$Q$16:$Q$25)</f>
        <v>2</v>
      </c>
      <c r="N39" s="48">
        <f>LOOKUP(N$29,'MIsc. Criteria'!$G$16:$G$25,'MIsc. Criteria'!$Q$16:$Q$25)</f>
        <v>2</v>
      </c>
      <c r="O39" s="44">
        <f>LOOKUP(O$29,'MIsc. Criteria'!$G$16:$G$25,'MIsc. Criteria'!$Q$16:$Q$25)</f>
        <v>2</v>
      </c>
      <c r="P39" s="52">
        <f>LOOKUP(P$29,'MIsc. Criteria'!$G$16:$G$25,'MIsc. Criteria'!$Q$16:$Q$25)</f>
        <v>3</v>
      </c>
    </row>
    <row r="40" spans="1:19" ht="15" customHeight="1" x14ac:dyDescent="0.25">
      <c r="A40" s="192" t="s">
        <v>98</v>
      </c>
      <c r="B40" s="26">
        <v>15</v>
      </c>
      <c r="C40" s="28">
        <f t="shared" si="8"/>
        <v>860000</v>
      </c>
      <c r="D40" s="220" t="s">
        <v>195</v>
      </c>
      <c r="E40" s="221"/>
      <c r="F40" s="222"/>
      <c r="G40" s="212"/>
      <c r="H40" s="53">
        <f ca="1">LOOKUP(H39,'MIsc. Criteria'!T3:T47,'MIsc. Criteria'!V3:V472)</f>
        <v>10</v>
      </c>
      <c r="K40" s="140" t="s">
        <v>189</v>
      </c>
      <c r="L40" s="141"/>
      <c r="M40" s="141"/>
      <c r="N40" s="144"/>
      <c r="O40" s="144"/>
      <c r="P40" s="145"/>
    </row>
    <row r="41" spans="1:19" ht="15.75" thickBot="1" x14ac:dyDescent="0.3">
      <c r="A41" s="193"/>
      <c r="B41" s="29">
        <v>16</v>
      </c>
      <c r="C41" s="30">
        <f t="shared" si="8"/>
        <v>980000</v>
      </c>
      <c r="D41" s="220"/>
      <c r="E41" s="221"/>
      <c r="F41" s="222"/>
      <c r="G41" s="212"/>
      <c r="H41" s="61"/>
      <c r="K41" s="142"/>
      <c r="L41" s="143"/>
      <c r="M41" s="143"/>
      <c r="N41" s="146"/>
      <c r="O41" s="146"/>
      <c r="P41" s="147"/>
    </row>
    <row r="42" spans="1:19" ht="15.75" thickBot="1" x14ac:dyDescent="0.3">
      <c r="A42" s="193"/>
      <c r="B42" s="29">
        <v>17</v>
      </c>
      <c r="C42" s="30">
        <f t="shared" si="8"/>
        <v>1100000</v>
      </c>
      <c r="D42" s="223" t="s">
        <v>196</v>
      </c>
      <c r="E42" s="224"/>
      <c r="F42" s="225"/>
      <c r="G42" s="213"/>
      <c r="H42" s="61"/>
      <c r="K42" s="148" t="s">
        <v>175</v>
      </c>
      <c r="L42" s="149"/>
      <c r="M42" s="149"/>
      <c r="N42" s="149"/>
      <c r="O42" s="150"/>
    </row>
    <row r="43" spans="1:19" x14ac:dyDescent="0.25">
      <c r="A43" s="193"/>
      <c r="B43" s="29">
        <v>18</v>
      </c>
      <c r="C43" s="30">
        <f t="shared" si="8"/>
        <v>1220000</v>
      </c>
      <c r="D43" s="223"/>
      <c r="E43" s="224"/>
      <c r="F43" s="225"/>
      <c r="G43" s="207" t="s">
        <v>127</v>
      </c>
      <c r="H43" s="77">
        <v>1</v>
      </c>
      <c r="K43" s="246" t="s">
        <v>176</v>
      </c>
      <c r="L43" s="272"/>
      <c r="M43" s="75">
        <v>2</v>
      </c>
      <c r="N43" s="12"/>
      <c r="O43" s="35"/>
      <c r="Q43" s="1"/>
    </row>
    <row r="44" spans="1:19" x14ac:dyDescent="0.25">
      <c r="A44" s="193"/>
      <c r="B44" s="26">
        <v>19</v>
      </c>
      <c r="C44" s="28">
        <f t="shared" si="8"/>
        <v>1340000</v>
      </c>
      <c r="D44" s="132"/>
      <c r="E44" s="131"/>
      <c r="F44" s="131"/>
      <c r="G44" s="208"/>
      <c r="H44" s="54">
        <f>LOOKUP(H39,'MIsc. Criteria'!T2:T47,'MIsc. Criteria'!W2:W47)*LOOKUP(H43,'MIsc. Criteria'!Y2:Y14,'MIsc. Criteria'!X2:X14)</f>
        <v>0</v>
      </c>
      <c r="K44" s="212"/>
      <c r="L44" s="272"/>
      <c r="M44" s="12"/>
      <c r="N44" s="12"/>
      <c r="O44" s="35"/>
      <c r="Q44" s="1"/>
    </row>
    <row r="45" spans="1:19" x14ac:dyDescent="0.25">
      <c r="A45" s="193"/>
      <c r="B45" s="26">
        <v>20</v>
      </c>
      <c r="C45" s="28">
        <f t="shared" si="8"/>
        <v>1460000</v>
      </c>
      <c r="D45" s="132"/>
      <c r="E45" s="131"/>
      <c r="F45" s="131"/>
      <c r="G45" s="249" t="s">
        <v>131</v>
      </c>
      <c r="H45" s="209">
        <f ca="1">SUM(H40+H44)</f>
        <v>10</v>
      </c>
      <c r="K45" s="212"/>
      <c r="L45" s="272"/>
      <c r="M45" s="12"/>
      <c r="N45" s="12"/>
      <c r="O45" s="35"/>
    </row>
    <row r="46" spans="1:19" ht="15.75" thickBot="1" x14ac:dyDescent="0.3">
      <c r="A46" s="193"/>
      <c r="B46" s="26">
        <v>21</v>
      </c>
      <c r="C46" s="28">
        <f t="shared" si="8"/>
        <v>1580000</v>
      </c>
      <c r="G46" s="250"/>
      <c r="H46" s="210"/>
      <c r="K46" s="212"/>
      <c r="L46" s="272"/>
      <c r="M46" s="12"/>
      <c r="N46" s="12"/>
      <c r="O46" s="35"/>
    </row>
    <row r="47" spans="1:19" ht="15.75" thickBot="1" x14ac:dyDescent="0.3">
      <c r="A47" s="194"/>
      <c r="B47" s="29">
        <v>22</v>
      </c>
      <c r="C47" s="30">
        <f t="shared" si="8"/>
        <v>1700000</v>
      </c>
      <c r="K47" s="273" t="s">
        <v>154</v>
      </c>
      <c r="L47" s="274"/>
      <c r="M47" s="76">
        <v>1</v>
      </c>
      <c r="N47" s="55"/>
      <c r="O47" s="56"/>
      <c r="Q47" s="1"/>
    </row>
    <row r="48" spans="1:19" ht="15.75" thickBot="1" x14ac:dyDescent="0.3">
      <c r="A48" s="33"/>
      <c r="B48" s="29">
        <v>23</v>
      </c>
      <c r="C48" s="30">
        <f t="shared" si="8"/>
        <v>1820000</v>
      </c>
      <c r="G48" s="205" t="s">
        <v>152</v>
      </c>
      <c r="H48" s="206"/>
      <c r="K48" s="273"/>
      <c r="L48" s="274"/>
      <c r="M48" s="55">
        <f>LOOKUP(M47,'MIsc. Criteria'!AI2:AI5,'MIsc. Criteria'!AH2:AH5)</f>
        <v>0</v>
      </c>
      <c r="N48" s="55"/>
      <c r="O48" s="56"/>
      <c r="Q48" s="1"/>
    </row>
    <row r="49" spans="2:20" x14ac:dyDescent="0.25">
      <c r="B49" s="29">
        <v>24</v>
      </c>
      <c r="C49" s="30">
        <f t="shared" si="8"/>
        <v>1940000</v>
      </c>
      <c r="G49" s="211" t="s">
        <v>149</v>
      </c>
      <c r="H49" s="73">
        <v>12</v>
      </c>
      <c r="K49" s="281" t="s">
        <v>157</v>
      </c>
      <c r="L49" s="282"/>
      <c r="M49" s="151" t="str">
        <f>IF(H27&lt;11,"Custom Class Only",IF(H3=1,"d4",IF(H3=2,"d6","d8")))</f>
        <v>Custom Class Only</v>
      </c>
      <c r="N49" s="151"/>
      <c r="O49" s="152"/>
      <c r="Q49" s="1"/>
      <c r="T49" s="1"/>
    </row>
    <row r="50" spans="2:20" x14ac:dyDescent="0.25">
      <c r="B50" s="26">
        <v>25</v>
      </c>
      <c r="C50" s="28">
        <f t="shared" si="8"/>
        <v>2060000</v>
      </c>
      <c r="G50" s="212"/>
      <c r="H50" s="61"/>
      <c r="K50" s="268"/>
      <c r="L50" s="269"/>
      <c r="M50" s="153"/>
      <c r="N50" s="153"/>
      <c r="O50" s="154"/>
      <c r="T50" s="1"/>
    </row>
    <row r="51" spans="2:20" x14ac:dyDescent="0.25">
      <c r="B51" s="26">
        <v>26</v>
      </c>
      <c r="C51" s="28">
        <f t="shared" si="8"/>
        <v>2180000</v>
      </c>
      <c r="G51" s="212"/>
      <c r="H51" s="61">
        <f>LOOKUP(H49,'MIsc. Criteria'!AA3:AA22,'MIsc. Criteria'!AB3:AB22)</f>
        <v>15.2</v>
      </c>
      <c r="K51" s="268" t="s">
        <v>158</v>
      </c>
      <c r="L51" s="269"/>
      <c r="M51" s="74">
        <v>2</v>
      </c>
      <c r="N51" s="57"/>
      <c r="O51" s="58"/>
      <c r="Q51" s="1"/>
    </row>
    <row r="52" spans="2:20" ht="15.75" thickBot="1" x14ac:dyDescent="0.3">
      <c r="B52" s="26">
        <v>27</v>
      </c>
      <c r="C52" s="28">
        <f t="shared" si="8"/>
        <v>2300000</v>
      </c>
      <c r="G52" s="213"/>
      <c r="H52" s="61"/>
      <c r="K52" s="270"/>
      <c r="L52" s="271"/>
      <c r="M52" s="59"/>
      <c r="N52" s="59"/>
      <c r="O52" s="60"/>
      <c r="Q52" s="1"/>
    </row>
    <row r="53" spans="2:20" x14ac:dyDescent="0.25">
      <c r="B53" s="29">
        <v>28</v>
      </c>
      <c r="C53" s="30">
        <f t="shared" si="8"/>
        <v>2420000</v>
      </c>
      <c r="G53" s="207" t="s">
        <v>150</v>
      </c>
      <c r="H53" s="242">
        <f>ROUND(H51,0)</f>
        <v>15</v>
      </c>
      <c r="K53" s="244" t="s">
        <v>172</v>
      </c>
      <c r="L53" s="245"/>
      <c r="M53" s="283">
        <f>IF(H$27&lt;11,'MIsc. Criteria'!AL14,'MIsc. Criteria'!AL19)</f>
        <v>2</v>
      </c>
      <c r="N53" s="283"/>
      <c r="O53" s="284"/>
    </row>
    <row r="54" spans="2:20" ht="15.75" thickBot="1" x14ac:dyDescent="0.3">
      <c r="B54" s="29">
        <v>29</v>
      </c>
      <c r="C54" s="30">
        <f t="shared" si="8"/>
        <v>2540000</v>
      </c>
      <c r="G54" s="241"/>
      <c r="H54" s="243"/>
      <c r="K54" s="246"/>
      <c r="L54" s="247"/>
      <c r="M54" s="272"/>
      <c r="N54" s="272"/>
      <c r="O54" s="285"/>
    </row>
    <row r="55" spans="2:20" ht="15.75" thickBot="1" x14ac:dyDescent="0.3">
      <c r="B55" s="29">
        <v>30</v>
      </c>
      <c r="C55" s="30">
        <f t="shared" si="8"/>
        <v>2660000</v>
      </c>
      <c r="K55" s="275" t="s">
        <v>173</v>
      </c>
      <c r="L55" s="276"/>
      <c r="M55" s="286">
        <f>IF(H$27&lt;11,'MIsc. Criteria'!AL13,'MIsc. Criteria'!AL18)</f>
        <v>5</v>
      </c>
      <c r="N55" s="286"/>
      <c r="O55" s="287"/>
    </row>
    <row r="56" spans="2:20" ht="15.75" thickBot="1" x14ac:dyDescent="0.3">
      <c r="B56" s="26">
        <v>31</v>
      </c>
      <c r="C56" s="28">
        <f t="shared" si="8"/>
        <v>2780000</v>
      </c>
      <c r="G56" s="205" t="s">
        <v>148</v>
      </c>
      <c r="H56" s="206"/>
      <c r="K56" s="277"/>
      <c r="L56" s="278"/>
      <c r="M56" s="288"/>
      <c r="N56" s="288"/>
      <c r="O56" s="289"/>
    </row>
    <row r="57" spans="2:20" x14ac:dyDescent="0.25">
      <c r="B57" s="26">
        <v>32</v>
      </c>
      <c r="C57" s="28">
        <f t="shared" si="8"/>
        <v>2900000</v>
      </c>
      <c r="G57" s="211" t="s">
        <v>149</v>
      </c>
      <c r="H57" s="73">
        <v>15</v>
      </c>
      <c r="K57" s="246" t="s">
        <v>174</v>
      </c>
      <c r="L57" s="247"/>
      <c r="M57" s="272">
        <f>IF(H$27&lt;11,'MIsc. Criteria'!AL12,'MIsc. Criteria'!AL17)</f>
        <v>8</v>
      </c>
      <c r="N57" s="272"/>
      <c r="O57" s="285"/>
    </row>
    <row r="58" spans="2:20" ht="15.75" thickBot="1" x14ac:dyDescent="0.3">
      <c r="B58" s="26">
        <v>33</v>
      </c>
      <c r="C58" s="28">
        <f t="shared" si="8"/>
        <v>3020000</v>
      </c>
      <c r="G58" s="212"/>
      <c r="H58" s="61"/>
      <c r="K58" s="279"/>
      <c r="L58" s="280"/>
      <c r="M58" s="290"/>
      <c r="N58" s="290"/>
      <c r="O58" s="291"/>
    </row>
    <row r="59" spans="2:20" x14ac:dyDescent="0.25">
      <c r="B59" s="29">
        <v>34</v>
      </c>
      <c r="C59" s="30">
        <f t="shared" si="8"/>
        <v>3140000</v>
      </c>
      <c r="G59" s="212"/>
      <c r="H59" s="61">
        <f>LOOKUP(H57,'MIsc. Criteria'!AA3:AA38,'MIsc. Criteria'!Z3:Z38)</f>
        <v>11.923076923076925</v>
      </c>
    </row>
    <row r="60" spans="2:20" x14ac:dyDescent="0.25">
      <c r="B60" s="29">
        <v>35</v>
      </c>
      <c r="C60" s="30">
        <f t="shared" si="8"/>
        <v>3260000</v>
      </c>
      <c r="G60" s="213"/>
      <c r="H60" s="61"/>
    </row>
    <row r="61" spans="2:20" ht="15.75" thickBot="1" x14ac:dyDescent="0.3">
      <c r="B61" s="31">
        <v>36</v>
      </c>
      <c r="C61" s="32">
        <f t="shared" si="8"/>
        <v>3380000</v>
      </c>
      <c r="G61" s="207" t="s">
        <v>150</v>
      </c>
      <c r="H61" s="242">
        <f>ROUND(H59,0)</f>
        <v>12</v>
      </c>
    </row>
    <row r="62" spans="2:20" ht="15.75" thickBot="1" x14ac:dyDescent="0.3">
      <c r="G62" s="241"/>
      <c r="H62" s="243"/>
    </row>
  </sheetData>
  <sheetProtection sheet="1" objects="1" scenarios="1" selectLockedCells="1"/>
  <mergeCells count="101">
    <mergeCell ref="K51:L52"/>
    <mergeCell ref="K43:L46"/>
    <mergeCell ref="K47:L48"/>
    <mergeCell ref="K55:L56"/>
    <mergeCell ref="K57:L58"/>
    <mergeCell ref="K49:L50"/>
    <mergeCell ref="M53:O54"/>
    <mergeCell ref="M55:O56"/>
    <mergeCell ref="M57:O58"/>
    <mergeCell ref="G61:G62"/>
    <mergeCell ref="H61:H62"/>
    <mergeCell ref="G57:G60"/>
    <mergeCell ref="K53:L54"/>
    <mergeCell ref="G49:G52"/>
    <mergeCell ref="G53:G54"/>
    <mergeCell ref="H53:H54"/>
    <mergeCell ref="G56:H56"/>
    <mergeCell ref="A1:J1"/>
    <mergeCell ref="G45:G46"/>
    <mergeCell ref="G48:H48"/>
    <mergeCell ref="G35:G36"/>
    <mergeCell ref="J2:J22"/>
    <mergeCell ref="J23:J24"/>
    <mergeCell ref="G33:G34"/>
    <mergeCell ref="E3:E6"/>
    <mergeCell ref="A2:E2"/>
    <mergeCell ref="A11:A12"/>
    <mergeCell ref="G27:G28"/>
    <mergeCell ref="G29:G30"/>
    <mergeCell ref="A3:A4"/>
    <mergeCell ref="A5:A6"/>
    <mergeCell ref="A9:A10"/>
    <mergeCell ref="G3:G4"/>
    <mergeCell ref="A7:A8"/>
    <mergeCell ref="G11:G12"/>
    <mergeCell ref="I21:I22"/>
    <mergeCell ref="A13:A14"/>
    <mergeCell ref="A15:A16"/>
    <mergeCell ref="A17:A18"/>
    <mergeCell ref="A19:A20"/>
    <mergeCell ref="A21:A22"/>
    <mergeCell ref="G13:G14"/>
    <mergeCell ref="G15:G16"/>
    <mergeCell ref="G17:G18"/>
    <mergeCell ref="G19:G20"/>
    <mergeCell ref="G21:G22"/>
    <mergeCell ref="I13:I14"/>
    <mergeCell ref="I15:I16"/>
    <mergeCell ref="I17:I18"/>
    <mergeCell ref="I19:I20"/>
    <mergeCell ref="G5:G6"/>
    <mergeCell ref="G7:G8"/>
    <mergeCell ref="G9:G10"/>
    <mergeCell ref="I9:I10"/>
    <mergeCell ref="I11:I12"/>
    <mergeCell ref="K3:T4"/>
    <mergeCell ref="K5:T6"/>
    <mergeCell ref="K7:T8"/>
    <mergeCell ref="K9:T10"/>
    <mergeCell ref="K11:T12"/>
    <mergeCell ref="I3:I4"/>
    <mergeCell ref="I5:I6"/>
    <mergeCell ref="I7:I8"/>
    <mergeCell ref="G31:G32"/>
    <mergeCell ref="G26:H26"/>
    <mergeCell ref="D25:E26"/>
    <mergeCell ref="G23:H24"/>
    <mergeCell ref="A40:A47"/>
    <mergeCell ref="A28:A36"/>
    <mergeCell ref="D27:E34"/>
    <mergeCell ref="A38:A39"/>
    <mergeCell ref="M27:M28"/>
    <mergeCell ref="K27:K28"/>
    <mergeCell ref="L27:L28"/>
    <mergeCell ref="G38:H38"/>
    <mergeCell ref="G43:G44"/>
    <mergeCell ref="H45:H46"/>
    <mergeCell ref="G39:G42"/>
    <mergeCell ref="D36:F37"/>
    <mergeCell ref="D38:F39"/>
    <mergeCell ref="D40:F41"/>
    <mergeCell ref="D42:F43"/>
    <mergeCell ref="A24:A25"/>
    <mergeCell ref="I23:I24"/>
    <mergeCell ref="B24:C24"/>
    <mergeCell ref="D24:E24"/>
    <mergeCell ref="K1:T2"/>
    <mergeCell ref="K40:M41"/>
    <mergeCell ref="N40:P41"/>
    <mergeCell ref="K42:O42"/>
    <mergeCell ref="M49:O50"/>
    <mergeCell ref="K13:T14"/>
    <mergeCell ref="K15:T16"/>
    <mergeCell ref="K17:T18"/>
    <mergeCell ref="K19:T20"/>
    <mergeCell ref="K21:T22"/>
    <mergeCell ref="K23:T24"/>
    <mergeCell ref="O27:O28"/>
    <mergeCell ref="K26:P26"/>
    <mergeCell ref="N27:N28"/>
    <mergeCell ref="P27:P28"/>
  </mergeCells>
  <conditionalFormatting sqref="B4">
    <cfRule type="expression" dxfId="37" priority="38">
      <formula>(H3)=1</formula>
    </cfRule>
  </conditionalFormatting>
  <conditionalFormatting sqref="C4">
    <cfRule type="expression" dxfId="36" priority="37">
      <formula>($H3)=2</formula>
    </cfRule>
  </conditionalFormatting>
  <conditionalFormatting sqref="D4">
    <cfRule type="expression" dxfId="35" priority="36">
      <formula>($H3)=3</formula>
    </cfRule>
  </conditionalFormatting>
  <conditionalFormatting sqref="B6">
    <cfRule type="expression" dxfId="34" priority="35">
      <formula>($H5)=1</formula>
    </cfRule>
  </conditionalFormatting>
  <conditionalFormatting sqref="C6">
    <cfRule type="expression" dxfId="33" priority="34">
      <formula>($H5)=2</formula>
    </cfRule>
  </conditionalFormatting>
  <conditionalFormatting sqref="D6">
    <cfRule type="expression" dxfId="32" priority="33">
      <formula>($H5)=3</formula>
    </cfRule>
  </conditionalFormatting>
  <conditionalFormatting sqref="B8">
    <cfRule type="expression" dxfId="31" priority="32">
      <formula>($H7)=1</formula>
    </cfRule>
  </conditionalFormatting>
  <conditionalFormatting sqref="C8">
    <cfRule type="expression" dxfId="30" priority="31">
      <formula>($H7)=2</formula>
    </cfRule>
  </conditionalFormatting>
  <conditionalFormatting sqref="D8">
    <cfRule type="expression" dxfId="29" priority="30">
      <formula>($H7)=3</formula>
    </cfRule>
  </conditionalFormatting>
  <conditionalFormatting sqref="E8">
    <cfRule type="expression" dxfId="28" priority="29">
      <formula>($H7)=4</formula>
    </cfRule>
  </conditionalFormatting>
  <conditionalFormatting sqref="B12">
    <cfRule type="expression" dxfId="27" priority="28">
      <formula>($H11)=1</formula>
    </cfRule>
  </conditionalFormatting>
  <conditionalFormatting sqref="C12">
    <cfRule type="expression" dxfId="26" priority="27">
      <formula>($H11)=2</formula>
    </cfRule>
  </conditionalFormatting>
  <conditionalFormatting sqref="D12">
    <cfRule type="expression" dxfId="25" priority="26">
      <formula>($H11)=3</formula>
    </cfRule>
  </conditionalFormatting>
  <conditionalFormatting sqref="E12">
    <cfRule type="expression" dxfId="24" priority="25">
      <formula>($H11)=4</formula>
    </cfRule>
  </conditionalFormatting>
  <conditionalFormatting sqref="B14">
    <cfRule type="expression" dxfId="23" priority="24">
      <formula>($H13)=1</formula>
    </cfRule>
  </conditionalFormatting>
  <conditionalFormatting sqref="C14">
    <cfRule type="expression" dxfId="22" priority="23">
      <formula>($H13)=2</formula>
    </cfRule>
  </conditionalFormatting>
  <conditionalFormatting sqref="D14">
    <cfRule type="expression" dxfId="21" priority="22">
      <formula>($H13)=3</formula>
    </cfRule>
  </conditionalFormatting>
  <conditionalFormatting sqref="E14">
    <cfRule type="expression" dxfId="20" priority="21">
      <formula>($H13)=4</formula>
    </cfRule>
  </conditionalFormatting>
  <conditionalFormatting sqref="B16">
    <cfRule type="expression" dxfId="19" priority="20">
      <formula>($H15)=1</formula>
    </cfRule>
  </conditionalFormatting>
  <conditionalFormatting sqref="C16">
    <cfRule type="expression" dxfId="18" priority="19">
      <formula>($H15)=2</formula>
    </cfRule>
  </conditionalFormatting>
  <conditionalFormatting sqref="D16">
    <cfRule type="expression" dxfId="17" priority="18">
      <formula>($H15)=3</formula>
    </cfRule>
  </conditionalFormatting>
  <conditionalFormatting sqref="E16">
    <cfRule type="expression" dxfId="16" priority="17">
      <formula>($H15)=4</formula>
    </cfRule>
  </conditionalFormatting>
  <conditionalFormatting sqref="B20">
    <cfRule type="expression" dxfId="15" priority="16">
      <formula>($H19)=1</formula>
    </cfRule>
  </conditionalFormatting>
  <conditionalFormatting sqref="C20">
    <cfRule type="expression" dxfId="14" priority="15">
      <formula>($H19)=2</formula>
    </cfRule>
  </conditionalFormatting>
  <conditionalFormatting sqref="D20">
    <cfRule type="expression" dxfId="13" priority="14">
      <formula>($H19)=3</formula>
    </cfRule>
  </conditionalFormatting>
  <conditionalFormatting sqref="E20">
    <cfRule type="expression" dxfId="12" priority="13">
      <formula>($H19)=4</formula>
    </cfRule>
  </conditionalFormatting>
  <conditionalFormatting sqref="B22">
    <cfRule type="expression" dxfId="11" priority="12">
      <formula>($H21)=1</formula>
    </cfRule>
  </conditionalFormatting>
  <conditionalFormatting sqref="C22">
    <cfRule type="expression" dxfId="10" priority="11">
      <formula>($H21)=2</formula>
    </cfRule>
  </conditionalFormatting>
  <conditionalFormatting sqref="D22">
    <cfRule type="expression" dxfId="9" priority="10">
      <formula>($H21)=3</formula>
    </cfRule>
  </conditionalFormatting>
  <conditionalFormatting sqref="E22">
    <cfRule type="expression" dxfId="8" priority="9">
      <formula>($H21)=4</formula>
    </cfRule>
  </conditionalFormatting>
  <conditionalFormatting sqref="B18">
    <cfRule type="expression" dxfId="7" priority="8">
      <formula>($H17)=1</formula>
    </cfRule>
  </conditionalFormatting>
  <conditionalFormatting sqref="C18">
    <cfRule type="expression" dxfId="6" priority="7">
      <formula>($H17)=2</formula>
    </cfRule>
  </conditionalFormatting>
  <conditionalFormatting sqref="D18">
    <cfRule type="expression" dxfId="5" priority="6">
      <formula>($H17)=3</formula>
    </cfRule>
  </conditionalFormatting>
  <conditionalFormatting sqref="E18">
    <cfRule type="expression" dxfId="4" priority="5">
      <formula>($H17)=4</formula>
    </cfRule>
  </conditionalFormatting>
  <conditionalFormatting sqref="B10">
    <cfRule type="expression" dxfId="3" priority="4">
      <formula>($H9)=1</formula>
    </cfRule>
  </conditionalFormatting>
  <conditionalFormatting sqref="C10">
    <cfRule type="expression" dxfId="2" priority="3">
      <formula>($H9)=2</formula>
    </cfRule>
  </conditionalFormatting>
  <conditionalFormatting sqref="D10">
    <cfRule type="expression" dxfId="1" priority="2">
      <formula>($H9)=3</formula>
    </cfRule>
  </conditionalFormatting>
  <conditionalFormatting sqref="E10">
    <cfRule type="expression" dxfId="0" priority="1">
      <formula>($H9)=4</formula>
    </cfRule>
  </conditionalFormatting>
  <hyperlinks>
    <hyperlink ref="D36:F37" r:id="rId1" display="https://bruce-heard.blogspot.com/"/>
    <hyperlink ref="D40:F41" r:id="rId2" display="Erin Smale"/>
    <hyperlink ref="D42:F43" r:id="rId3" display="Timothy S. Brannan"/>
    <hyperlink ref="A1:J1" r:id="rId4" display="Click here for the related article: Alternate Experience Levels"/>
    <hyperlink ref="K7:T8" r:id="rId5" display="This refers to revised saving throws. Click here for the original article."/>
    <hyperlink ref="K15:T16" r:id="rId6" display="Resistance to dragon breaths, bonuses vs. giant, etc. Significant applies to demi-humans in general.Major applies to the optional half-orc class."/>
  </hyperlinks>
  <pageMargins left="0.7" right="0.7" top="0.75" bottom="0.75" header="0.3" footer="0.3"/>
  <pageSetup orientation="portrait" r:id="rId7"/>
  <drawing r:id="rId8"/>
  <legacyDrawing r:id="rId9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10" name="Drop Down 1">
              <controlPr defaultSize="0" autoLine="0" autoPict="0">
                <anchor moveWithCells="1">
                  <from>
                    <xdr:col>7</xdr:col>
                    <xdr:colOff>28575</xdr:colOff>
                    <xdr:row>2</xdr:row>
                    <xdr:rowOff>47625</xdr:rowOff>
                  </from>
                  <to>
                    <xdr:col>7</xdr:col>
                    <xdr:colOff>1847850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11" name="Drop Down 3">
              <controlPr defaultSize="0" autoLine="0" autoPict="0">
                <anchor moveWithCells="1">
                  <from>
                    <xdr:col>7</xdr:col>
                    <xdr:colOff>28575</xdr:colOff>
                    <xdr:row>4</xdr:row>
                    <xdr:rowOff>47625</xdr:rowOff>
                  </from>
                  <to>
                    <xdr:col>7</xdr:col>
                    <xdr:colOff>1847850</xdr:colOff>
                    <xdr:row>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12" name="Drop Down 4">
              <controlPr defaultSize="0" autoLine="0" autoPict="0">
                <anchor moveWithCells="1">
                  <from>
                    <xdr:col>7</xdr:col>
                    <xdr:colOff>28575</xdr:colOff>
                    <xdr:row>6</xdr:row>
                    <xdr:rowOff>47625</xdr:rowOff>
                  </from>
                  <to>
                    <xdr:col>7</xdr:col>
                    <xdr:colOff>1847850</xdr:colOff>
                    <xdr:row>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Drop Down 12">
              <controlPr defaultSize="0" autoLine="0" autoPict="0">
                <anchor moveWithCells="1">
                  <from>
                    <xdr:col>7</xdr:col>
                    <xdr:colOff>28575</xdr:colOff>
                    <xdr:row>8</xdr:row>
                    <xdr:rowOff>47625</xdr:rowOff>
                  </from>
                  <to>
                    <xdr:col>7</xdr:col>
                    <xdr:colOff>1847850</xdr:colOff>
                    <xdr:row>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Drop Down 13">
              <controlPr defaultSize="0" autoLine="0" autoPict="0">
                <anchor moveWithCells="1">
                  <from>
                    <xdr:col>7</xdr:col>
                    <xdr:colOff>28575</xdr:colOff>
                    <xdr:row>10</xdr:row>
                    <xdr:rowOff>47625</xdr:rowOff>
                  </from>
                  <to>
                    <xdr:col>7</xdr:col>
                    <xdr:colOff>1847850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Drop Down 14">
              <controlPr defaultSize="0" autoLine="0" autoPict="0">
                <anchor moveWithCells="1">
                  <from>
                    <xdr:col>7</xdr:col>
                    <xdr:colOff>28575</xdr:colOff>
                    <xdr:row>12</xdr:row>
                    <xdr:rowOff>47625</xdr:rowOff>
                  </from>
                  <to>
                    <xdr:col>7</xdr:col>
                    <xdr:colOff>1847850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Drop Down 15">
              <controlPr defaultSize="0" autoLine="0" autoPict="0">
                <anchor moveWithCells="1">
                  <from>
                    <xdr:col>7</xdr:col>
                    <xdr:colOff>28575</xdr:colOff>
                    <xdr:row>14</xdr:row>
                    <xdr:rowOff>47625</xdr:rowOff>
                  </from>
                  <to>
                    <xdr:col>7</xdr:col>
                    <xdr:colOff>1847850</xdr:colOff>
                    <xdr:row>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Drop Down 16">
              <controlPr defaultSize="0" autoLine="0" autoPict="0">
                <anchor moveWithCells="1">
                  <from>
                    <xdr:col>7</xdr:col>
                    <xdr:colOff>28575</xdr:colOff>
                    <xdr:row>16</xdr:row>
                    <xdr:rowOff>47625</xdr:rowOff>
                  </from>
                  <to>
                    <xdr:col>7</xdr:col>
                    <xdr:colOff>1847850</xdr:colOff>
                    <xdr:row>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Drop Down 17">
              <controlPr defaultSize="0" autoLine="0" autoPict="0">
                <anchor moveWithCells="1">
                  <from>
                    <xdr:col>7</xdr:col>
                    <xdr:colOff>28575</xdr:colOff>
                    <xdr:row>18</xdr:row>
                    <xdr:rowOff>47625</xdr:rowOff>
                  </from>
                  <to>
                    <xdr:col>7</xdr:col>
                    <xdr:colOff>1847850</xdr:colOff>
                    <xdr:row>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Drop Down 18">
              <controlPr defaultSize="0" autoLine="0" autoPict="0">
                <anchor moveWithCells="1">
                  <from>
                    <xdr:col>7</xdr:col>
                    <xdr:colOff>28575</xdr:colOff>
                    <xdr:row>20</xdr:row>
                    <xdr:rowOff>47625</xdr:rowOff>
                  </from>
                  <to>
                    <xdr:col>7</xdr:col>
                    <xdr:colOff>1847850</xdr:colOff>
                    <xdr:row>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Drop Down 19">
              <controlPr defaultSize="0" autoLine="0" autoPict="0">
                <anchor moveWithCells="1">
                  <from>
                    <xdr:col>0</xdr:col>
                    <xdr:colOff>38100</xdr:colOff>
                    <xdr:row>25</xdr:row>
                    <xdr:rowOff>28575</xdr:rowOff>
                  </from>
                  <to>
                    <xdr:col>0</xdr:col>
                    <xdr:colOff>1466850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Drop Down 20">
              <controlPr defaultSize="0" autoLine="0" autoPict="0">
                <anchor moveWithCells="1">
                  <from>
                    <xdr:col>7</xdr:col>
                    <xdr:colOff>28575</xdr:colOff>
                    <xdr:row>26</xdr:row>
                    <xdr:rowOff>47625</xdr:rowOff>
                  </from>
                  <to>
                    <xdr:col>7</xdr:col>
                    <xdr:colOff>1847850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Drop Down 21">
              <controlPr defaultSize="0" autoLine="0" autoPict="0">
                <anchor moveWithCells="1">
                  <from>
                    <xdr:col>7</xdr:col>
                    <xdr:colOff>28575</xdr:colOff>
                    <xdr:row>28</xdr:row>
                    <xdr:rowOff>47625</xdr:rowOff>
                  </from>
                  <to>
                    <xdr:col>7</xdr:col>
                    <xdr:colOff>1847850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Drop Down 22">
              <controlPr defaultSize="0" autoLine="0" autoPict="0">
                <anchor moveWithCells="1">
                  <from>
                    <xdr:col>7</xdr:col>
                    <xdr:colOff>28575</xdr:colOff>
                    <xdr:row>30</xdr:row>
                    <xdr:rowOff>47625</xdr:rowOff>
                  </from>
                  <to>
                    <xdr:col>7</xdr:col>
                    <xdr:colOff>1847850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4" name="Drop Down 23">
              <controlPr defaultSize="0" autoLine="0" autoPict="0">
                <anchor moveWithCells="1">
                  <from>
                    <xdr:col>7</xdr:col>
                    <xdr:colOff>28575</xdr:colOff>
                    <xdr:row>32</xdr:row>
                    <xdr:rowOff>47625</xdr:rowOff>
                  </from>
                  <to>
                    <xdr:col>7</xdr:col>
                    <xdr:colOff>1847850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5" name="Drop Down 24">
              <controlPr defaultSize="0" autoLine="0" autoPict="0">
                <anchor moveWithCells="1">
                  <from>
                    <xdr:col>7</xdr:col>
                    <xdr:colOff>28575</xdr:colOff>
                    <xdr:row>34</xdr:row>
                    <xdr:rowOff>47625</xdr:rowOff>
                  </from>
                  <to>
                    <xdr:col>7</xdr:col>
                    <xdr:colOff>1847850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6" name="Drop Down 26">
              <controlPr defaultSize="0" autoLine="0" autoPict="0">
                <anchor moveWithCells="1">
                  <from>
                    <xdr:col>7</xdr:col>
                    <xdr:colOff>9525</xdr:colOff>
                    <xdr:row>42</xdr:row>
                    <xdr:rowOff>38100</xdr:rowOff>
                  </from>
                  <to>
                    <xdr:col>7</xdr:col>
                    <xdr:colOff>1847850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7" name="List Box 27">
              <controlPr defaultSize="0" autoLine="0" autoPict="0">
                <anchor moveWithCells="1">
                  <from>
                    <xdr:col>7</xdr:col>
                    <xdr:colOff>9525</xdr:colOff>
                    <xdr:row>38</xdr:row>
                    <xdr:rowOff>9525</xdr:rowOff>
                  </from>
                  <to>
                    <xdr:col>7</xdr:col>
                    <xdr:colOff>1847850</xdr:colOff>
                    <xdr:row>41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8" name="List Box 28">
              <controlPr defaultSize="0" autoLine="0" autoPict="0">
                <anchor moveWithCells="1">
                  <from>
                    <xdr:col>7</xdr:col>
                    <xdr:colOff>9525</xdr:colOff>
                    <xdr:row>48</xdr:row>
                    <xdr:rowOff>9525</xdr:rowOff>
                  </from>
                  <to>
                    <xdr:col>7</xdr:col>
                    <xdr:colOff>1847850</xdr:colOff>
                    <xdr:row>51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9" name="List Box 29">
              <controlPr defaultSize="0" autoLine="0" autoPict="0">
                <anchor moveWithCells="1">
                  <from>
                    <xdr:col>7</xdr:col>
                    <xdr:colOff>9525</xdr:colOff>
                    <xdr:row>56</xdr:row>
                    <xdr:rowOff>9525</xdr:rowOff>
                  </from>
                  <to>
                    <xdr:col>7</xdr:col>
                    <xdr:colOff>1847850</xdr:colOff>
                    <xdr:row>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0" name="List Box 30">
              <controlPr defaultSize="0" autoLine="0" autoPict="0">
                <anchor moveWithCells="1">
                  <from>
                    <xdr:col>12</xdr:col>
                    <xdr:colOff>0</xdr:colOff>
                    <xdr:row>42</xdr:row>
                    <xdr:rowOff>9525</xdr:rowOff>
                  </from>
                  <to>
                    <xdr:col>14</xdr:col>
                    <xdr:colOff>581025</xdr:colOff>
                    <xdr:row>45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1" name="Drop Down 31">
              <controlPr defaultSize="0" autoLine="0" autoPict="0">
                <anchor moveWithCells="1">
                  <from>
                    <xdr:col>11</xdr:col>
                    <xdr:colOff>600075</xdr:colOff>
                    <xdr:row>46</xdr:row>
                    <xdr:rowOff>47625</xdr:rowOff>
                  </from>
                  <to>
                    <xdr:col>14</xdr:col>
                    <xdr:colOff>590550</xdr:colOff>
                    <xdr:row>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2" name="Drop Down 32">
              <controlPr defaultSize="0" autoLine="0" autoPict="0">
                <anchor moveWithCells="1">
                  <from>
                    <xdr:col>11</xdr:col>
                    <xdr:colOff>600075</xdr:colOff>
                    <xdr:row>50</xdr:row>
                    <xdr:rowOff>47625</xdr:rowOff>
                  </from>
                  <to>
                    <xdr:col>14</xdr:col>
                    <xdr:colOff>590550</xdr:colOff>
                    <xdr:row>51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1"/>
  <sheetViews>
    <sheetView topLeftCell="S1" zoomScaleNormal="100" workbookViewId="0">
      <selection activeCell="S1" sqref="A1:XFD1048576"/>
    </sheetView>
  </sheetViews>
  <sheetFormatPr defaultRowHeight="15" x14ac:dyDescent="0.25"/>
  <cols>
    <col min="1" max="1" width="2.85546875" style="78" customWidth="1"/>
    <col min="2" max="2" width="3.42578125" style="78" customWidth="1"/>
    <col min="3" max="8" width="10.7109375" style="78" customWidth="1"/>
    <col min="9" max="9" width="10.7109375" style="79" customWidth="1"/>
    <col min="10" max="14" width="10.7109375" style="78" customWidth="1"/>
    <col min="15" max="30" width="9.140625" style="78"/>
    <col min="31" max="31" width="14.85546875" style="78" customWidth="1"/>
    <col min="32" max="33" width="9.140625" style="79"/>
    <col min="34" max="16384" width="9.140625" style="78"/>
  </cols>
  <sheetData>
    <row r="1" spans="1:41" x14ac:dyDescent="0.25">
      <c r="A1" s="292" t="s">
        <v>99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T1" s="79" t="s">
        <v>122</v>
      </c>
      <c r="U1" s="79" t="s">
        <v>123</v>
      </c>
      <c r="V1" s="79" t="s">
        <v>124</v>
      </c>
      <c r="W1" s="79" t="s">
        <v>125</v>
      </c>
      <c r="X1" s="79" t="s">
        <v>130</v>
      </c>
      <c r="Y1" s="79" t="s">
        <v>129</v>
      </c>
      <c r="Z1" s="79" t="s">
        <v>147</v>
      </c>
      <c r="AA1" s="79" t="s">
        <v>38</v>
      </c>
      <c r="AB1" s="79" t="s">
        <v>151</v>
      </c>
      <c r="AF1" s="79" t="s">
        <v>123</v>
      </c>
      <c r="AG1" s="79" t="s">
        <v>153</v>
      </c>
      <c r="AH1" s="79" t="s">
        <v>155</v>
      </c>
      <c r="AI1" s="79" t="s">
        <v>156</v>
      </c>
      <c r="AJ1" s="80" t="s">
        <v>159</v>
      </c>
    </row>
    <row r="2" spans="1:41" x14ac:dyDescent="0.25">
      <c r="A2" s="292"/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T2" s="79"/>
      <c r="W2" s="79">
        <v>0</v>
      </c>
      <c r="X2" s="79">
        <v>0</v>
      </c>
      <c r="Y2" s="79">
        <v>1</v>
      </c>
      <c r="AD2" s="78">
        <v>1</v>
      </c>
      <c r="AE2" s="81" t="s">
        <v>83</v>
      </c>
      <c r="AF2" s="79">
        <v>8</v>
      </c>
      <c r="AG2" s="79">
        <v>3</v>
      </c>
      <c r="AH2" s="79">
        <v>0</v>
      </c>
      <c r="AI2" s="79">
        <v>1</v>
      </c>
      <c r="AJ2" s="80" t="str">
        <f>IF('Main Page'!$H$27=11,"+1/Lvl after Level 9","(Custom Class Only)")</f>
        <v>(Custom Class Only)</v>
      </c>
    </row>
    <row r="3" spans="1:41" x14ac:dyDescent="0.25">
      <c r="B3" s="78">
        <v>1</v>
      </c>
      <c r="C3" s="81" t="s">
        <v>83</v>
      </c>
      <c r="D3" s="79">
        <v>8</v>
      </c>
      <c r="E3" s="79">
        <v>9</v>
      </c>
      <c r="F3" s="79">
        <v>10</v>
      </c>
      <c r="G3" s="79">
        <v>12</v>
      </c>
      <c r="H3" s="79">
        <v>11</v>
      </c>
      <c r="I3" s="79">
        <v>1</v>
      </c>
      <c r="J3" s="78" t="str">
        <f>IF('Main Page'!$H$27=11,"1. Death","(Custom Class Only)")</f>
        <v>(Custom Class Only)</v>
      </c>
      <c r="L3" s="78" t="str">
        <f>IF('Main Page'!$H$27=11,"1. Highest","(Custom Class Only)")</f>
        <v>(Custom Class Only)</v>
      </c>
      <c r="M3" s="78" t="str">
        <f>IF('Main Page'!$H$27=11,"1. Fighter &amp; Demi-Human","(Custom Class Only)")</f>
        <v>(Custom Class Only)</v>
      </c>
      <c r="O3" s="78">
        <v>-2</v>
      </c>
      <c r="Q3" s="78" t="str">
        <f>IF('Main Page'!$H$27=11,"1. Fast","(Custom Class Only)")</f>
        <v>(Custom Class Only)</v>
      </c>
      <c r="T3" s="79">
        <v>1</v>
      </c>
      <c r="U3" s="79" t="s">
        <v>121</v>
      </c>
      <c r="V3" s="79">
        <v>5</v>
      </c>
      <c r="W3" s="79">
        <v>1</v>
      </c>
      <c r="X3" s="79">
        <v>1</v>
      </c>
      <c r="Y3" s="79">
        <v>2</v>
      </c>
      <c r="Z3" s="79">
        <v>1</v>
      </c>
      <c r="AA3" s="79">
        <v>1</v>
      </c>
      <c r="AB3" s="79">
        <v>1</v>
      </c>
      <c r="AD3" s="78">
        <v>2</v>
      </c>
      <c r="AE3" s="81" t="s">
        <v>91</v>
      </c>
      <c r="AF3" s="79">
        <v>6</v>
      </c>
      <c r="AG3" s="79">
        <v>1</v>
      </c>
      <c r="AH3" s="79">
        <v>1</v>
      </c>
      <c r="AI3" s="79">
        <v>2</v>
      </c>
      <c r="AJ3" s="80" t="str">
        <f>IF('Main Page'!$H$27=11,"+2/Lvl after Level 9","(Custom Class Only)")</f>
        <v>(Custom Class Only)</v>
      </c>
    </row>
    <row r="4" spans="1:41" x14ac:dyDescent="0.25">
      <c r="B4" s="78">
        <v>2</v>
      </c>
      <c r="C4" s="81" t="s">
        <v>91</v>
      </c>
      <c r="D4" s="79">
        <v>9</v>
      </c>
      <c r="E4" s="79">
        <v>9</v>
      </c>
      <c r="F4" s="79">
        <v>12</v>
      </c>
      <c r="G4" s="79">
        <v>12</v>
      </c>
      <c r="H4" s="79">
        <v>13</v>
      </c>
      <c r="I4" s="79">
        <v>2</v>
      </c>
      <c r="J4" s="78" t="str">
        <f>IF('Main Page'!$H$27=11,"2. Device Magic","(Custom Class Only)")</f>
        <v>(Custom Class Only)</v>
      </c>
      <c r="L4" s="78" t="str">
        <f>IF('Main Page'!$H$27=11,"2. Good","(Custom Class Only)")</f>
        <v>(Custom Class Only)</v>
      </c>
      <c r="M4" s="78" t="str">
        <f>IF('Main Page'!$H$27=11,"2. Magic-User","(Custom Class Only)")</f>
        <v>(Custom Class Only)</v>
      </c>
      <c r="O4" s="78">
        <v>-1</v>
      </c>
      <c r="Q4" s="78" t="str">
        <f>IF('Main Page'!$H$27=11,"2. Mid Range","(Custom Class Only)")</f>
        <v>(Custom Class Only)</v>
      </c>
      <c r="T4" s="79">
        <v>2</v>
      </c>
      <c r="U4" s="79">
        <v>1</v>
      </c>
      <c r="V4" s="79">
        <v>10</v>
      </c>
      <c r="W4" s="79">
        <v>3</v>
      </c>
      <c r="X4" s="79">
        <v>2</v>
      </c>
      <c r="Y4" s="79">
        <v>3</v>
      </c>
      <c r="Z4" s="79">
        <v>2</v>
      </c>
      <c r="AA4" s="79">
        <v>2</v>
      </c>
      <c r="AB4" s="79">
        <v>2</v>
      </c>
      <c r="AD4" s="78">
        <v>3</v>
      </c>
      <c r="AE4" s="81" t="s">
        <v>8</v>
      </c>
      <c r="AF4" s="79">
        <v>8</v>
      </c>
      <c r="AG4" s="79">
        <v>2</v>
      </c>
      <c r="AH4" s="79">
        <v>2</v>
      </c>
      <c r="AI4" s="79">
        <v>3</v>
      </c>
      <c r="AJ4" s="80" t="str">
        <f>IF('Main Page'!$H$27=11,"+3/Lvl after Level 9","(Custom Class Only)")</f>
        <v>(Custom Class Only)</v>
      </c>
    </row>
    <row r="5" spans="1:41" x14ac:dyDescent="0.25">
      <c r="B5" s="78">
        <v>3</v>
      </c>
      <c r="C5" s="81" t="s">
        <v>8</v>
      </c>
      <c r="D5" s="79">
        <v>11</v>
      </c>
      <c r="E5" s="79">
        <v>12</v>
      </c>
      <c r="F5" s="79">
        <v>13</v>
      </c>
      <c r="G5" s="79">
        <v>13</v>
      </c>
      <c r="H5" s="79">
        <v>16</v>
      </c>
      <c r="I5" s="79">
        <v>3</v>
      </c>
      <c r="J5" s="78" t="str">
        <f>IF('Main Page'!$H$27=11,"3. Poison, Disease","(Custom Class Only)")</f>
        <v>(Custom Class Only)</v>
      </c>
      <c r="L5" s="78" t="str">
        <f>IF('Main Page'!$H$27=11,"3. Fair","(Custom Class Only)")</f>
        <v>(Custom Class Only)</v>
      </c>
      <c r="M5" s="78" t="str">
        <f>IF('Main Page'!$H$27=11,"3. All Others","(Custom Class Only)")</f>
        <v>(Custom Class Only)</v>
      </c>
      <c r="O5" s="78">
        <v>0</v>
      </c>
      <c r="Q5" s="78" t="str">
        <f>IF('Main Page'!$H$27=11,"3. Slow","(Custom Class Only)")</f>
        <v>(Custom Class Only)</v>
      </c>
      <c r="T5" s="79">
        <v>3</v>
      </c>
      <c r="U5" s="79" t="s">
        <v>101</v>
      </c>
      <c r="V5" s="79">
        <v>15</v>
      </c>
      <c r="W5" s="79">
        <v>4</v>
      </c>
      <c r="X5" s="79">
        <v>3</v>
      </c>
      <c r="Y5" s="79">
        <v>4</v>
      </c>
      <c r="Z5" s="79">
        <v>3</v>
      </c>
      <c r="AA5" s="79">
        <v>3</v>
      </c>
      <c r="AB5" s="79">
        <v>3</v>
      </c>
      <c r="AD5" s="78">
        <v>4</v>
      </c>
      <c r="AE5" s="81" t="s">
        <v>84</v>
      </c>
      <c r="AF5" s="79">
        <v>4</v>
      </c>
      <c r="AG5" s="79">
        <v>1</v>
      </c>
      <c r="AH5" s="79">
        <v>3</v>
      </c>
      <c r="AI5" s="79">
        <v>4</v>
      </c>
    </row>
    <row r="6" spans="1:41" x14ac:dyDescent="0.25">
      <c r="B6" s="78">
        <v>4</v>
      </c>
      <c r="C6" s="81" t="s">
        <v>84</v>
      </c>
      <c r="D6" s="79">
        <v>8</v>
      </c>
      <c r="E6" s="79">
        <v>8</v>
      </c>
      <c r="F6" s="79">
        <v>11</v>
      </c>
      <c r="G6" s="79">
        <v>11</v>
      </c>
      <c r="H6" s="79">
        <v>12</v>
      </c>
      <c r="I6" s="79">
        <v>4</v>
      </c>
      <c r="J6" s="78" t="str">
        <f>IF('Main Page'!$H$27=11,"4. Area of Effect","(Custom Class Only)")</f>
        <v>(Custom Class Only)</v>
      </c>
      <c r="L6" s="78" t="str">
        <f>IF('Main Page'!$H$27=11,"4. Mediocre","(Custom Class Only)")</f>
        <v>(Custom Class Only)</v>
      </c>
      <c r="O6" s="78">
        <v>1</v>
      </c>
      <c r="T6" s="79">
        <v>4</v>
      </c>
      <c r="U6" s="79">
        <v>2</v>
      </c>
      <c r="V6" s="79">
        <v>20</v>
      </c>
      <c r="W6" s="79">
        <v>5</v>
      </c>
      <c r="X6" s="79">
        <v>4</v>
      </c>
      <c r="Y6" s="79">
        <v>5</v>
      </c>
      <c r="Z6" s="79">
        <v>4</v>
      </c>
      <c r="AA6" s="79">
        <v>4</v>
      </c>
      <c r="AB6" s="79">
        <v>4</v>
      </c>
      <c r="AD6" s="78">
        <v>5</v>
      </c>
      <c r="AE6" s="81" t="s">
        <v>85</v>
      </c>
      <c r="AF6" s="79">
        <v>6</v>
      </c>
      <c r="AG6" s="79">
        <v>1</v>
      </c>
      <c r="AL6" s="79" t="s">
        <v>164</v>
      </c>
    </row>
    <row r="7" spans="1:41" x14ac:dyDescent="0.25">
      <c r="B7" s="78">
        <v>5</v>
      </c>
      <c r="C7" s="81" t="s">
        <v>85</v>
      </c>
      <c r="D7" s="79">
        <v>9</v>
      </c>
      <c r="E7" s="79">
        <v>9</v>
      </c>
      <c r="F7" s="79">
        <v>9</v>
      </c>
      <c r="G7" s="79">
        <v>11</v>
      </c>
      <c r="H7" s="79">
        <v>12</v>
      </c>
      <c r="I7" s="79">
        <v>5</v>
      </c>
      <c r="J7" s="78" t="str">
        <f>IF('Main Page'!$H$27=11,"5. Aimed Magic","(Custom Class Only)")</f>
        <v>(Custom Class Only)</v>
      </c>
      <c r="T7" s="79">
        <v>5</v>
      </c>
      <c r="U7" s="79" t="s">
        <v>102</v>
      </c>
      <c r="V7" s="79">
        <v>25</v>
      </c>
      <c r="W7" s="79">
        <v>10</v>
      </c>
      <c r="X7" s="79">
        <v>5</v>
      </c>
      <c r="Y7" s="79">
        <v>6</v>
      </c>
      <c r="Z7" s="79">
        <v>5</v>
      </c>
      <c r="AA7" s="79">
        <v>5</v>
      </c>
      <c r="AB7" s="79">
        <v>5</v>
      </c>
      <c r="AD7" s="78">
        <v>6</v>
      </c>
      <c r="AE7" s="81" t="s">
        <v>87</v>
      </c>
      <c r="AF7" s="79">
        <v>4</v>
      </c>
      <c r="AG7" s="79">
        <v>1</v>
      </c>
      <c r="AH7" s="78" t="s">
        <v>160</v>
      </c>
      <c r="AJ7" s="79" t="s">
        <v>161</v>
      </c>
      <c r="AK7" s="78" t="s">
        <v>165</v>
      </c>
      <c r="AL7" s="78" t="s">
        <v>165</v>
      </c>
    </row>
    <row r="8" spans="1:41" ht="15" customHeight="1" x14ac:dyDescent="0.25">
      <c r="B8" s="78">
        <v>6</v>
      </c>
      <c r="C8" s="81" t="s">
        <v>87</v>
      </c>
      <c r="D8" s="79">
        <v>10</v>
      </c>
      <c r="E8" s="79">
        <v>11</v>
      </c>
      <c r="F8" s="79">
        <v>12</v>
      </c>
      <c r="G8" s="79">
        <v>14</v>
      </c>
      <c r="H8" s="79">
        <v>13</v>
      </c>
      <c r="T8" s="79">
        <v>6</v>
      </c>
      <c r="U8" s="79">
        <v>3</v>
      </c>
      <c r="V8" s="79">
        <v>35</v>
      </c>
      <c r="W8" s="79">
        <v>15</v>
      </c>
      <c r="X8" s="79">
        <v>6</v>
      </c>
      <c r="Y8" s="79">
        <v>7</v>
      </c>
      <c r="Z8" s="79">
        <v>6</v>
      </c>
      <c r="AA8" s="79">
        <v>6</v>
      </c>
      <c r="AB8" s="79">
        <v>6</v>
      </c>
      <c r="AD8" s="78">
        <v>7</v>
      </c>
      <c r="AE8" s="81" t="s">
        <v>86</v>
      </c>
      <c r="AF8" s="79">
        <v>6</v>
      </c>
      <c r="AG8" s="79">
        <v>1</v>
      </c>
      <c r="AH8" s="79">
        <f>'Main Page'!M43</f>
        <v>2</v>
      </c>
      <c r="AI8" s="79"/>
      <c r="AJ8" s="79">
        <f>'Main Page'!H27</f>
        <v>9</v>
      </c>
      <c r="AK8" s="82">
        <f>'Main Page'!M48</f>
        <v>0</v>
      </c>
      <c r="AL8" s="79">
        <f>IF(AH8&lt;10,AK8*AH8,AK8*9)</f>
        <v>0</v>
      </c>
    </row>
    <row r="9" spans="1:41" x14ac:dyDescent="0.25">
      <c r="B9" s="78">
        <v>7</v>
      </c>
      <c r="C9" s="81" t="s">
        <v>86</v>
      </c>
      <c r="D9" s="79">
        <v>8</v>
      </c>
      <c r="E9" s="79">
        <v>11</v>
      </c>
      <c r="F9" s="79">
        <v>11</v>
      </c>
      <c r="G9" s="79">
        <v>12</v>
      </c>
      <c r="H9" s="79">
        <v>13</v>
      </c>
      <c r="J9" s="83" t="s">
        <v>92</v>
      </c>
      <c r="T9" s="79">
        <v>7</v>
      </c>
      <c r="U9" s="79" t="s">
        <v>103</v>
      </c>
      <c r="V9" s="79">
        <v>50</v>
      </c>
      <c r="W9" s="79">
        <v>25</v>
      </c>
      <c r="X9" s="79">
        <v>7</v>
      </c>
      <c r="Y9" s="79">
        <v>8</v>
      </c>
      <c r="Z9" s="79">
        <v>7</v>
      </c>
      <c r="AA9" s="79">
        <v>7</v>
      </c>
      <c r="AB9" s="79">
        <v>7</v>
      </c>
      <c r="AD9" s="78">
        <v>8</v>
      </c>
      <c r="AE9" s="81" t="s">
        <v>88</v>
      </c>
      <c r="AF9" s="79">
        <v>6</v>
      </c>
      <c r="AG9" s="79">
        <v>2</v>
      </c>
      <c r="AH9" s="78">
        <f>IF(AH8&lt;10,0,LOOKUP(AJ8,AD2:AD11,AG2:AG11)*(AH8-9))</f>
        <v>0</v>
      </c>
      <c r="AI9" s="78" t="s">
        <v>162</v>
      </c>
    </row>
    <row r="10" spans="1:41" x14ac:dyDescent="0.25">
      <c r="B10" s="78">
        <v>8</v>
      </c>
      <c r="C10" s="81" t="s">
        <v>88</v>
      </c>
      <c r="D10" s="79">
        <v>10</v>
      </c>
      <c r="E10" s="79">
        <v>13</v>
      </c>
      <c r="F10" s="79">
        <v>13</v>
      </c>
      <c r="G10" s="79">
        <v>14</v>
      </c>
      <c r="H10" s="79">
        <v>15</v>
      </c>
      <c r="J10" s="84" t="s">
        <v>93</v>
      </c>
      <c r="K10" s="79">
        <f>'Main Page'!H29</f>
        <v>1</v>
      </c>
      <c r="L10" s="85" t="str">
        <f>LOOKUP(K10,I3:I7,J3:J7)</f>
        <v>(Custom Class Only)</v>
      </c>
      <c r="N10" s="79">
        <v>-1</v>
      </c>
      <c r="T10" s="79">
        <v>8</v>
      </c>
      <c r="U10" s="79">
        <v>4</v>
      </c>
      <c r="V10" s="79">
        <v>75</v>
      </c>
      <c r="W10" s="79">
        <v>50</v>
      </c>
      <c r="X10" s="79">
        <v>8</v>
      </c>
      <c r="Y10" s="79">
        <v>9</v>
      </c>
      <c r="Z10" s="79">
        <v>8</v>
      </c>
      <c r="AA10" s="79">
        <v>8</v>
      </c>
      <c r="AB10" s="79">
        <v>8</v>
      </c>
      <c r="AD10" s="78">
        <v>9</v>
      </c>
      <c r="AE10" s="81" t="s">
        <v>89</v>
      </c>
      <c r="AF10" s="79">
        <v>4</v>
      </c>
      <c r="AG10" s="79">
        <v>2</v>
      </c>
    </row>
    <row r="11" spans="1:41" x14ac:dyDescent="0.25">
      <c r="B11" s="78">
        <v>9</v>
      </c>
      <c r="C11" s="81" t="s">
        <v>89</v>
      </c>
      <c r="D11" s="79">
        <v>10</v>
      </c>
      <c r="E11" s="79">
        <v>11</v>
      </c>
      <c r="F11" s="79">
        <v>12</v>
      </c>
      <c r="G11" s="79">
        <v>12</v>
      </c>
      <c r="H11" s="79">
        <v>15</v>
      </c>
      <c r="J11" s="84" t="s">
        <v>94</v>
      </c>
      <c r="K11" s="79">
        <f>'Main Page'!H31</f>
        <v>2</v>
      </c>
      <c r="L11" s="85" t="str">
        <f>LOOKUP(K11,I3:I7,J3:J7)</f>
        <v>(Custom Class Only)</v>
      </c>
      <c r="N11" s="79">
        <v>1</v>
      </c>
      <c r="T11" s="79">
        <v>9</v>
      </c>
      <c r="U11" s="79" t="s">
        <v>104</v>
      </c>
      <c r="V11" s="79">
        <v>125</v>
      </c>
      <c r="W11" s="79">
        <v>75</v>
      </c>
      <c r="X11" s="79">
        <v>9</v>
      </c>
      <c r="Y11" s="79">
        <v>10</v>
      </c>
      <c r="Z11" s="79">
        <v>9</v>
      </c>
      <c r="AA11" s="79">
        <v>9</v>
      </c>
      <c r="AB11" s="79">
        <v>9</v>
      </c>
      <c r="AD11" s="78">
        <v>10</v>
      </c>
      <c r="AE11" s="81" t="s">
        <v>90</v>
      </c>
      <c r="AF11" s="79">
        <v>8</v>
      </c>
      <c r="AG11" s="79">
        <v>2</v>
      </c>
      <c r="AI11" s="86" t="s">
        <v>163</v>
      </c>
      <c r="AJ11" s="87" t="s">
        <v>169</v>
      </c>
      <c r="AK11" s="87"/>
      <c r="AL11" s="87" t="s">
        <v>170</v>
      </c>
      <c r="AM11" s="87"/>
    </row>
    <row r="12" spans="1:41" x14ac:dyDescent="0.25">
      <c r="B12" s="78">
        <v>10</v>
      </c>
      <c r="C12" s="81" t="s">
        <v>90</v>
      </c>
      <c r="D12" s="79">
        <v>11</v>
      </c>
      <c r="E12" s="79">
        <v>11</v>
      </c>
      <c r="F12" s="79">
        <v>11</v>
      </c>
      <c r="G12" s="79">
        <v>13</v>
      </c>
      <c r="H12" s="79">
        <v>14</v>
      </c>
      <c r="J12" s="84" t="s">
        <v>95</v>
      </c>
      <c r="K12" s="79">
        <f>'Main Page'!H33</f>
        <v>3</v>
      </c>
      <c r="L12" s="85" t="str">
        <f>LOOKUP(K12,I3:I6,L3:L6)</f>
        <v>(Custom Class Only)</v>
      </c>
      <c r="N12" s="79">
        <f>LOOKUP(K12,I3:I6,O3:O6)</f>
        <v>0</v>
      </c>
      <c r="T12" s="79">
        <v>10</v>
      </c>
      <c r="U12" s="79">
        <v>5</v>
      </c>
      <c r="V12" s="79">
        <v>175</v>
      </c>
      <c r="W12" s="79">
        <v>125</v>
      </c>
      <c r="X12" s="79">
        <v>10</v>
      </c>
      <c r="Y12" s="79">
        <v>11</v>
      </c>
      <c r="Z12" s="79">
        <v>10</v>
      </c>
      <c r="AA12" s="79">
        <v>10</v>
      </c>
      <c r="AB12" s="79">
        <v>10</v>
      </c>
      <c r="AD12" s="78">
        <v>11</v>
      </c>
      <c r="AE12" s="88" t="s">
        <v>97</v>
      </c>
      <c r="AF12" s="79">
        <v>1</v>
      </c>
      <c r="AG12" s="79">
        <v>1</v>
      </c>
      <c r="AI12" s="79" t="s">
        <v>166</v>
      </c>
      <c r="AJ12" s="79">
        <f>IF(AH8&lt;10,LOOKUP(AJ8,AD2:AD11,AF2:AF11)*AH8,LOOKUP(AJ8,AD2:AD11,AF2:AF11)*9)</f>
        <v>8</v>
      </c>
      <c r="AK12" s="79"/>
      <c r="AL12" s="79">
        <f>AJ12+AH9+AL8</f>
        <v>8</v>
      </c>
    </row>
    <row r="13" spans="1:41" x14ac:dyDescent="0.25">
      <c r="B13" s="78">
        <v>11</v>
      </c>
      <c r="C13" s="88" t="s">
        <v>97</v>
      </c>
      <c r="D13" s="79">
        <f>10+(IF($K10=1,$N10,0))+(IF($K11=1,$N11,0))+$N12</f>
        <v>9</v>
      </c>
      <c r="E13" s="79">
        <f>11+(IF($K10=2,$N10,0))+(IF($K11=2,$N11,0))+$N12</f>
        <v>12</v>
      </c>
      <c r="F13" s="79">
        <f>12+(IF($K10=3,$N10,0))+(IF($K11=3,$N11,0))+$N12</f>
        <v>12</v>
      </c>
      <c r="G13" s="79">
        <f>13+(IF($K10=4,$N10,0))+(IF($K11=4,$N11,0))+$N12</f>
        <v>13</v>
      </c>
      <c r="H13" s="79">
        <f>14+(IF($K10=5,$N10,0))+(IF($K11=5,$N11,0))+$N12</f>
        <v>14</v>
      </c>
      <c r="J13" s="84" t="s">
        <v>43</v>
      </c>
      <c r="K13" s="79">
        <f>'Main Page'!H35</f>
        <v>1</v>
      </c>
      <c r="L13" s="85" t="str">
        <f>LOOKUP(K13,I3:I5,M3:M5)</f>
        <v>(Custom Class Only)</v>
      </c>
      <c r="N13" s="79"/>
      <c r="T13" s="79">
        <v>11</v>
      </c>
      <c r="U13" s="79" t="s">
        <v>105</v>
      </c>
      <c r="V13" s="79">
        <v>225</v>
      </c>
      <c r="W13" s="79">
        <v>175</v>
      </c>
      <c r="X13" s="79">
        <v>11</v>
      </c>
      <c r="Y13" s="79">
        <v>12</v>
      </c>
      <c r="Z13" s="89">
        <f t="shared" ref="Z13:Z38" si="0">Z12+Y$16</f>
        <v>10.384615384615385</v>
      </c>
      <c r="AA13" s="79">
        <v>11</v>
      </c>
      <c r="AB13" s="89">
        <v>12.6</v>
      </c>
      <c r="AI13" s="79" t="s">
        <v>168</v>
      </c>
      <c r="AJ13" s="79">
        <f>ROUNDUP((AJ12+AJ14)/2,0)</f>
        <v>5</v>
      </c>
      <c r="AK13" s="79"/>
      <c r="AL13" s="79">
        <f>AJ13+AH9+AL8</f>
        <v>5</v>
      </c>
    </row>
    <row r="14" spans="1:41" x14ac:dyDescent="0.25">
      <c r="T14" s="79">
        <v>12</v>
      </c>
      <c r="U14" s="79">
        <v>6</v>
      </c>
      <c r="V14" s="79">
        <v>275</v>
      </c>
      <c r="W14" s="79">
        <v>225</v>
      </c>
      <c r="X14" s="79">
        <v>12</v>
      </c>
      <c r="Y14" s="79">
        <v>13</v>
      </c>
      <c r="Z14" s="89">
        <f t="shared" si="0"/>
        <v>10.76923076923077</v>
      </c>
      <c r="AA14" s="79">
        <v>12</v>
      </c>
      <c r="AB14" s="89">
        <v>15.2</v>
      </c>
      <c r="AE14" s="90" t="s">
        <v>179</v>
      </c>
      <c r="AI14" s="79" t="s">
        <v>167</v>
      </c>
      <c r="AJ14" s="79">
        <f>IF(AH8&lt;10,1*AH8,9)</f>
        <v>2</v>
      </c>
      <c r="AK14" s="79"/>
      <c r="AL14" s="79">
        <f>AJ14+AH9+AL8</f>
        <v>2</v>
      </c>
    </row>
    <row r="15" spans="1:41" ht="15.75" thickBot="1" x14ac:dyDescent="0.3">
      <c r="I15" s="78"/>
      <c r="T15" s="79">
        <v>13</v>
      </c>
      <c r="U15" s="79" t="s">
        <v>106</v>
      </c>
      <c r="V15" s="79">
        <v>350</v>
      </c>
      <c r="W15" s="79">
        <v>300</v>
      </c>
      <c r="X15" s="79"/>
      <c r="Z15" s="89">
        <f t="shared" si="0"/>
        <v>11.153846153846155</v>
      </c>
      <c r="AA15" s="79">
        <v>13</v>
      </c>
      <c r="AB15" s="89">
        <v>17.8</v>
      </c>
      <c r="AE15" s="90" t="s">
        <v>180</v>
      </c>
    </row>
    <row r="16" spans="1:41" ht="18.75" x14ac:dyDescent="0.25">
      <c r="C16" s="293" t="s">
        <v>52</v>
      </c>
      <c r="D16" s="294"/>
      <c r="E16" s="294"/>
      <c r="G16" s="91">
        <v>7</v>
      </c>
      <c r="H16" s="92">
        <v>5</v>
      </c>
      <c r="I16" s="93">
        <v>4</v>
      </c>
      <c r="J16" s="92">
        <v>3</v>
      </c>
      <c r="K16" s="92">
        <v>3</v>
      </c>
      <c r="L16" s="93">
        <v>2</v>
      </c>
      <c r="M16" s="92">
        <v>2</v>
      </c>
      <c r="N16" s="92">
        <v>2</v>
      </c>
      <c r="O16" s="93">
        <v>2</v>
      </c>
      <c r="P16" s="92">
        <v>2</v>
      </c>
      <c r="Q16" s="94">
        <v>2</v>
      </c>
      <c r="T16" s="79">
        <v>14</v>
      </c>
      <c r="U16" s="79">
        <v>7</v>
      </c>
      <c r="V16" s="79">
        <v>450</v>
      </c>
      <c r="W16" s="79">
        <v>400</v>
      </c>
      <c r="X16" s="79"/>
      <c r="Y16" s="79">
        <f>10/26</f>
        <v>0.38461538461538464</v>
      </c>
      <c r="Z16" s="89">
        <f t="shared" si="0"/>
        <v>11.53846153846154</v>
      </c>
      <c r="AA16" s="79">
        <v>14</v>
      </c>
      <c r="AB16" s="89">
        <v>20.399999999999999</v>
      </c>
      <c r="AE16" s="90" t="s">
        <v>181</v>
      </c>
      <c r="AI16" s="95" t="s">
        <v>171</v>
      </c>
      <c r="AJ16" s="96" t="s">
        <v>169</v>
      </c>
      <c r="AK16" s="96"/>
      <c r="AL16" s="96" t="s">
        <v>170</v>
      </c>
      <c r="AM16" s="96"/>
      <c r="AN16" s="96" t="s">
        <v>0</v>
      </c>
      <c r="AO16" s="97" t="str">
        <f>'Main Page'!M49</f>
        <v>Custom Class Only</v>
      </c>
    </row>
    <row r="17" spans="3:41" ht="15.75" customHeight="1" thickBot="1" x14ac:dyDescent="0.3">
      <c r="C17" s="98" t="s">
        <v>53</v>
      </c>
      <c r="D17" s="99" t="s">
        <v>54</v>
      </c>
      <c r="E17" s="100" t="s">
        <v>55</v>
      </c>
      <c r="G17" s="101">
        <v>8</v>
      </c>
      <c r="H17" s="102">
        <v>6</v>
      </c>
      <c r="I17" s="103">
        <v>4</v>
      </c>
      <c r="J17" s="102">
        <v>4</v>
      </c>
      <c r="K17" s="102">
        <v>3</v>
      </c>
      <c r="L17" s="103">
        <v>3</v>
      </c>
      <c r="M17" s="102">
        <v>2</v>
      </c>
      <c r="N17" s="102">
        <v>2</v>
      </c>
      <c r="O17" s="103">
        <v>2</v>
      </c>
      <c r="P17" s="102">
        <v>2</v>
      </c>
      <c r="Q17" s="104">
        <v>2</v>
      </c>
      <c r="T17" s="79">
        <v>15</v>
      </c>
      <c r="U17" s="79" t="s">
        <v>107</v>
      </c>
      <c r="V17" s="79">
        <v>550</v>
      </c>
      <c r="W17" s="79">
        <v>475</v>
      </c>
      <c r="X17" s="79"/>
      <c r="Z17" s="89">
        <f t="shared" si="0"/>
        <v>11.923076923076925</v>
      </c>
      <c r="AA17" s="79">
        <v>15</v>
      </c>
      <c r="AB17" s="89">
        <v>23</v>
      </c>
      <c r="AE17" s="90" t="s">
        <v>182</v>
      </c>
      <c r="AI17" s="79" t="s">
        <v>166</v>
      </c>
      <c r="AJ17" s="79">
        <f>IF(AH8&lt;10,AN17*AH8,AN17*9)</f>
        <v>16</v>
      </c>
      <c r="AL17" s="79">
        <f>AJ17+AN18+AL8</f>
        <v>16</v>
      </c>
      <c r="AN17" s="79">
        <f>IF(AO16="d4",4,IF(AO16="d6",6,8))</f>
        <v>8</v>
      </c>
    </row>
    <row r="18" spans="3:41" x14ac:dyDescent="0.25">
      <c r="C18" s="105" t="s">
        <v>56</v>
      </c>
      <c r="D18" s="106" t="s">
        <v>57</v>
      </c>
      <c r="E18" s="107" t="s">
        <v>58</v>
      </c>
      <c r="G18" s="108">
        <v>9</v>
      </c>
      <c r="H18" s="109">
        <v>7</v>
      </c>
      <c r="I18" s="110">
        <v>5</v>
      </c>
      <c r="J18" s="109">
        <v>4</v>
      </c>
      <c r="K18" s="109">
        <v>4</v>
      </c>
      <c r="L18" s="110">
        <v>3</v>
      </c>
      <c r="M18" s="109">
        <v>3</v>
      </c>
      <c r="N18" s="109">
        <v>2</v>
      </c>
      <c r="O18" s="110">
        <v>2</v>
      </c>
      <c r="P18" s="109">
        <v>2</v>
      </c>
      <c r="Q18" s="111">
        <v>2</v>
      </c>
      <c r="T18" s="79">
        <v>16</v>
      </c>
      <c r="U18" s="79">
        <v>8</v>
      </c>
      <c r="V18" s="79">
        <v>650</v>
      </c>
      <c r="W18" s="79">
        <v>550</v>
      </c>
      <c r="X18" s="79"/>
      <c r="Z18" s="89">
        <f t="shared" si="0"/>
        <v>12.30769230769231</v>
      </c>
      <c r="AA18" s="79">
        <v>16</v>
      </c>
      <c r="AB18" s="89">
        <v>25.6</v>
      </c>
      <c r="AE18" s="90" t="s">
        <v>183</v>
      </c>
      <c r="AI18" s="79" t="s">
        <v>168</v>
      </c>
      <c r="AJ18" s="79">
        <f>ROUNDUP((AJ17+AJ19)/2,0)</f>
        <v>9</v>
      </c>
      <c r="AL18" s="79">
        <f>AJ18+AN18+AL8</f>
        <v>9</v>
      </c>
      <c r="AN18" s="78">
        <f>IF(AH8&lt;10,0,'Main Page'!M51*(AH8-9))</f>
        <v>0</v>
      </c>
      <c r="AO18" s="78" t="s">
        <v>162</v>
      </c>
    </row>
    <row r="19" spans="3:41" x14ac:dyDescent="0.25">
      <c r="C19" s="112" t="s">
        <v>59</v>
      </c>
      <c r="D19" s="113" t="s">
        <v>60</v>
      </c>
      <c r="E19" s="114" t="s">
        <v>61</v>
      </c>
      <c r="G19" s="101">
        <v>10</v>
      </c>
      <c r="H19" s="102">
        <v>8</v>
      </c>
      <c r="I19" s="103">
        <v>6</v>
      </c>
      <c r="J19" s="102">
        <v>5</v>
      </c>
      <c r="K19" s="102">
        <v>4</v>
      </c>
      <c r="L19" s="103">
        <v>4</v>
      </c>
      <c r="M19" s="102">
        <v>3</v>
      </c>
      <c r="N19" s="102">
        <v>3</v>
      </c>
      <c r="O19" s="103">
        <v>2</v>
      </c>
      <c r="P19" s="102">
        <v>2</v>
      </c>
      <c r="Q19" s="104">
        <v>2</v>
      </c>
      <c r="T19" s="79">
        <v>17</v>
      </c>
      <c r="U19" s="79" t="s">
        <v>108</v>
      </c>
      <c r="V19" s="79">
        <v>775</v>
      </c>
      <c r="W19" s="79">
        <v>625</v>
      </c>
      <c r="X19" s="79"/>
      <c r="Z19" s="89">
        <f t="shared" si="0"/>
        <v>12.692307692307695</v>
      </c>
      <c r="AA19" s="79">
        <v>17</v>
      </c>
      <c r="AB19" s="89">
        <v>28.2</v>
      </c>
      <c r="AE19" s="90" t="s">
        <v>184</v>
      </c>
      <c r="AI19" s="79" t="s">
        <v>167</v>
      </c>
      <c r="AJ19" s="79">
        <f>IF(AH8&lt;10,1*AH8,9)</f>
        <v>2</v>
      </c>
      <c r="AL19" s="79">
        <f>AJ19+AN18+AL8</f>
        <v>2</v>
      </c>
    </row>
    <row r="20" spans="3:41" x14ac:dyDescent="0.25">
      <c r="C20" s="115" t="s">
        <v>62</v>
      </c>
      <c r="D20" s="116" t="s">
        <v>63</v>
      </c>
      <c r="E20" s="117" t="s">
        <v>64</v>
      </c>
      <c r="G20" s="108">
        <v>11</v>
      </c>
      <c r="H20" s="109">
        <v>9</v>
      </c>
      <c r="I20" s="110">
        <v>7</v>
      </c>
      <c r="J20" s="109">
        <v>6</v>
      </c>
      <c r="K20" s="109">
        <v>5</v>
      </c>
      <c r="L20" s="110">
        <v>4</v>
      </c>
      <c r="M20" s="109">
        <v>4</v>
      </c>
      <c r="N20" s="109">
        <v>3</v>
      </c>
      <c r="O20" s="110">
        <v>3</v>
      </c>
      <c r="P20" s="109">
        <v>2</v>
      </c>
      <c r="Q20" s="111">
        <v>2</v>
      </c>
      <c r="T20" s="79">
        <v>18</v>
      </c>
      <c r="U20" s="79">
        <v>9</v>
      </c>
      <c r="V20" s="79">
        <v>900</v>
      </c>
      <c r="W20" s="79">
        <v>700</v>
      </c>
      <c r="X20" s="79"/>
      <c r="Z20" s="89">
        <f t="shared" si="0"/>
        <v>13.07692307692308</v>
      </c>
      <c r="AA20" s="79">
        <v>18</v>
      </c>
      <c r="AB20" s="89">
        <v>30.8</v>
      </c>
      <c r="AE20" s="90" t="s">
        <v>185</v>
      </c>
      <c r="AJ20" s="79"/>
    </row>
    <row r="21" spans="3:41" x14ac:dyDescent="0.25">
      <c r="C21" s="112" t="s">
        <v>65</v>
      </c>
      <c r="D21" s="113" t="s">
        <v>66</v>
      </c>
      <c r="E21" s="118" t="s">
        <v>67</v>
      </c>
      <c r="G21" s="101">
        <v>12</v>
      </c>
      <c r="H21" s="102">
        <v>10</v>
      </c>
      <c r="I21" s="103">
        <v>8</v>
      </c>
      <c r="J21" s="102">
        <v>7</v>
      </c>
      <c r="K21" s="102">
        <v>6</v>
      </c>
      <c r="L21" s="103">
        <v>5</v>
      </c>
      <c r="M21" s="102">
        <v>4</v>
      </c>
      <c r="N21" s="102">
        <v>3</v>
      </c>
      <c r="O21" s="103">
        <v>3</v>
      </c>
      <c r="P21" s="102">
        <v>2</v>
      </c>
      <c r="Q21" s="104">
        <v>2</v>
      </c>
      <c r="T21" s="79">
        <v>19</v>
      </c>
      <c r="U21" s="79" t="s">
        <v>109</v>
      </c>
      <c r="V21" s="119">
        <v>1000</v>
      </c>
      <c r="W21" s="79">
        <v>750</v>
      </c>
      <c r="X21" s="79"/>
      <c r="Z21" s="89">
        <f t="shared" si="0"/>
        <v>13.461538461538465</v>
      </c>
      <c r="AA21" s="79">
        <v>19</v>
      </c>
      <c r="AB21" s="89">
        <v>33.400000000000006</v>
      </c>
      <c r="AE21" s="90" t="s">
        <v>186</v>
      </c>
    </row>
    <row r="22" spans="3:41" x14ac:dyDescent="0.25">
      <c r="C22" s="112" t="s">
        <v>68</v>
      </c>
      <c r="D22" s="113" t="s">
        <v>69</v>
      </c>
      <c r="E22" s="114" t="s">
        <v>70</v>
      </c>
      <c r="G22" s="108">
        <v>13</v>
      </c>
      <c r="H22" s="109">
        <v>11</v>
      </c>
      <c r="I22" s="110">
        <v>9</v>
      </c>
      <c r="J22" s="109">
        <v>8</v>
      </c>
      <c r="K22" s="109">
        <v>7</v>
      </c>
      <c r="L22" s="110">
        <v>6</v>
      </c>
      <c r="M22" s="109">
        <v>5</v>
      </c>
      <c r="N22" s="109">
        <v>4</v>
      </c>
      <c r="O22" s="110">
        <v>3</v>
      </c>
      <c r="P22" s="109">
        <v>3</v>
      </c>
      <c r="Q22" s="111">
        <v>2</v>
      </c>
      <c r="T22" s="79">
        <v>20</v>
      </c>
      <c r="U22" s="79" t="s">
        <v>110</v>
      </c>
      <c r="V22" s="119">
        <v>1100</v>
      </c>
      <c r="W22" s="79">
        <v>800</v>
      </c>
      <c r="X22" s="79"/>
      <c r="Z22" s="89">
        <f t="shared" si="0"/>
        <v>13.84615384615385</v>
      </c>
      <c r="AA22" s="79">
        <v>20</v>
      </c>
      <c r="AB22" s="79">
        <v>36</v>
      </c>
      <c r="AE22" s="90" t="s">
        <v>188</v>
      </c>
    </row>
    <row r="23" spans="3:41" x14ac:dyDescent="0.25">
      <c r="C23" s="115" t="s">
        <v>71</v>
      </c>
      <c r="D23" s="116" t="s">
        <v>72</v>
      </c>
      <c r="E23" s="117" t="s">
        <v>73</v>
      </c>
      <c r="G23" s="101">
        <v>14</v>
      </c>
      <c r="H23" s="102">
        <v>12</v>
      </c>
      <c r="I23" s="103">
        <v>10</v>
      </c>
      <c r="J23" s="102">
        <v>9</v>
      </c>
      <c r="K23" s="102">
        <v>8</v>
      </c>
      <c r="L23" s="103">
        <v>7</v>
      </c>
      <c r="M23" s="102">
        <v>6</v>
      </c>
      <c r="N23" s="102">
        <v>5</v>
      </c>
      <c r="O23" s="103">
        <v>4</v>
      </c>
      <c r="P23" s="102">
        <v>3</v>
      </c>
      <c r="Q23" s="104">
        <v>2</v>
      </c>
      <c r="T23" s="79">
        <v>21</v>
      </c>
      <c r="U23" s="79" t="s">
        <v>111</v>
      </c>
      <c r="V23" s="119">
        <v>1250</v>
      </c>
      <c r="W23" s="79">
        <v>975</v>
      </c>
      <c r="X23" s="79"/>
      <c r="Z23" s="89">
        <f t="shared" si="0"/>
        <v>14.230769230769235</v>
      </c>
      <c r="AA23" s="79">
        <v>21</v>
      </c>
      <c r="AE23" s="90" t="s">
        <v>187</v>
      </c>
    </row>
    <row r="24" spans="3:41" x14ac:dyDescent="0.25">
      <c r="C24" s="112" t="s">
        <v>73</v>
      </c>
      <c r="D24" s="113" t="s">
        <v>74</v>
      </c>
      <c r="E24" s="114" t="s">
        <v>75</v>
      </c>
      <c r="G24" s="108">
        <v>15</v>
      </c>
      <c r="H24" s="109">
        <v>13</v>
      </c>
      <c r="I24" s="110">
        <v>11</v>
      </c>
      <c r="J24" s="109">
        <v>10</v>
      </c>
      <c r="K24" s="109">
        <v>9</v>
      </c>
      <c r="L24" s="110">
        <v>8</v>
      </c>
      <c r="M24" s="109">
        <v>7</v>
      </c>
      <c r="N24" s="109">
        <v>6</v>
      </c>
      <c r="O24" s="110">
        <v>5</v>
      </c>
      <c r="P24" s="109">
        <v>4</v>
      </c>
      <c r="Q24" s="111">
        <v>3</v>
      </c>
      <c r="T24" s="79">
        <v>22</v>
      </c>
      <c r="U24" s="79" t="s">
        <v>112</v>
      </c>
      <c r="V24" s="119">
        <v>1350</v>
      </c>
      <c r="W24" s="79">
        <v>950</v>
      </c>
      <c r="X24" s="79"/>
      <c r="Z24" s="89">
        <f t="shared" si="0"/>
        <v>14.61538461538462</v>
      </c>
      <c r="AA24" s="79">
        <v>22</v>
      </c>
      <c r="AE24" s="78" t="str">
        <f>IF('Main Page'!N40=0,"",'Main Page'!N40)</f>
        <v/>
      </c>
    </row>
    <row r="25" spans="3:41" ht="15.75" thickBot="1" x14ac:dyDescent="0.3">
      <c r="C25" s="112" t="s">
        <v>75</v>
      </c>
      <c r="D25" s="113" t="s">
        <v>76</v>
      </c>
      <c r="E25" s="118" t="s">
        <v>67</v>
      </c>
      <c r="G25" s="120">
        <v>16</v>
      </c>
      <c r="H25" s="121">
        <v>14</v>
      </c>
      <c r="I25" s="122">
        <v>12</v>
      </c>
      <c r="J25" s="121">
        <v>11</v>
      </c>
      <c r="K25" s="121">
        <v>10</v>
      </c>
      <c r="L25" s="122">
        <v>9</v>
      </c>
      <c r="M25" s="121">
        <v>8</v>
      </c>
      <c r="N25" s="121">
        <v>7</v>
      </c>
      <c r="O25" s="122">
        <v>6</v>
      </c>
      <c r="P25" s="121">
        <v>5</v>
      </c>
      <c r="Q25" s="123">
        <v>4</v>
      </c>
      <c r="T25" s="79">
        <v>23</v>
      </c>
      <c r="U25" s="79" t="s">
        <v>113</v>
      </c>
      <c r="V25" s="119">
        <v>1500</v>
      </c>
      <c r="W25" s="119">
        <v>1000</v>
      </c>
      <c r="X25" s="79"/>
      <c r="Z25" s="89">
        <f t="shared" si="0"/>
        <v>15.000000000000005</v>
      </c>
      <c r="AA25" s="79">
        <v>23</v>
      </c>
    </row>
    <row r="26" spans="3:41" x14ac:dyDescent="0.25">
      <c r="C26" s="115" t="s">
        <v>77</v>
      </c>
      <c r="D26" s="116" t="s">
        <v>77</v>
      </c>
      <c r="E26" s="117" t="s">
        <v>77</v>
      </c>
      <c r="I26" s="78"/>
      <c r="O26" s="79"/>
      <c r="T26" s="79">
        <v>24</v>
      </c>
      <c r="U26" s="79" t="s">
        <v>114</v>
      </c>
      <c r="V26" s="119">
        <v>1650</v>
      </c>
      <c r="W26" s="119">
        <v>1050</v>
      </c>
      <c r="X26" s="79"/>
      <c r="Z26" s="89">
        <f t="shared" si="0"/>
        <v>15.38461538461539</v>
      </c>
      <c r="AA26" s="79">
        <v>24</v>
      </c>
    </row>
    <row r="27" spans="3:41" x14ac:dyDescent="0.25">
      <c r="C27" s="112" t="s">
        <v>78</v>
      </c>
      <c r="D27" s="113" t="s">
        <v>78</v>
      </c>
      <c r="E27" s="114" t="s">
        <v>78</v>
      </c>
      <c r="I27" s="78"/>
      <c r="T27" s="79">
        <v>25</v>
      </c>
      <c r="U27" s="79" t="s">
        <v>115</v>
      </c>
      <c r="V27" s="119">
        <v>1850</v>
      </c>
      <c r="W27" s="119">
        <v>1100</v>
      </c>
      <c r="X27" s="79"/>
      <c r="Z27" s="89">
        <f t="shared" si="0"/>
        <v>15.769230769230775</v>
      </c>
      <c r="AA27" s="79">
        <v>25</v>
      </c>
    </row>
    <row r="28" spans="3:41" ht="15.75" thickBot="1" x14ac:dyDescent="0.3">
      <c r="C28" s="124" t="s">
        <v>79</v>
      </c>
      <c r="D28" s="125" t="s">
        <v>79</v>
      </c>
      <c r="E28" s="126" t="s">
        <v>79</v>
      </c>
      <c r="I28" s="78"/>
      <c r="T28" s="79">
        <v>26</v>
      </c>
      <c r="U28" s="79" t="s">
        <v>116</v>
      </c>
      <c r="V28" s="119">
        <v>2000</v>
      </c>
      <c r="W28" s="119">
        <v>1150</v>
      </c>
      <c r="X28" s="79"/>
      <c r="Z28" s="89">
        <f t="shared" si="0"/>
        <v>16.15384615384616</v>
      </c>
      <c r="AA28" s="79">
        <v>26</v>
      </c>
    </row>
    <row r="29" spans="3:41" x14ac:dyDescent="0.25">
      <c r="T29" s="79">
        <v>27</v>
      </c>
      <c r="U29" s="79" t="s">
        <v>117</v>
      </c>
      <c r="V29" s="119">
        <v>2125</v>
      </c>
      <c r="W29" s="119">
        <v>1350</v>
      </c>
      <c r="X29" s="79"/>
      <c r="Z29" s="89">
        <f t="shared" si="0"/>
        <v>16.538461538461544</v>
      </c>
      <c r="AA29" s="79">
        <v>27</v>
      </c>
    </row>
    <row r="30" spans="3:41" x14ac:dyDescent="0.25">
      <c r="I30" s="78"/>
      <c r="T30" s="79">
        <v>28</v>
      </c>
      <c r="U30" s="79" t="s">
        <v>118</v>
      </c>
      <c r="V30" s="119">
        <v>2250</v>
      </c>
      <c r="W30" s="119">
        <v>1550</v>
      </c>
      <c r="X30" s="79"/>
      <c r="Z30" s="89">
        <f t="shared" si="0"/>
        <v>16.923076923076927</v>
      </c>
      <c r="AA30" s="79">
        <v>28</v>
      </c>
    </row>
    <row r="31" spans="3:41" x14ac:dyDescent="0.25">
      <c r="I31" s="78"/>
      <c r="T31" s="79">
        <v>29</v>
      </c>
      <c r="U31" s="79" t="s">
        <v>119</v>
      </c>
      <c r="V31" s="119">
        <v>2375</v>
      </c>
      <c r="W31" s="119">
        <v>1800</v>
      </c>
      <c r="X31" s="79"/>
      <c r="Z31" s="89">
        <f t="shared" si="0"/>
        <v>17.30769230769231</v>
      </c>
      <c r="AA31" s="79">
        <v>29</v>
      </c>
    </row>
    <row r="32" spans="3:41" x14ac:dyDescent="0.25">
      <c r="I32" s="78"/>
      <c r="T32" s="79">
        <v>30</v>
      </c>
      <c r="U32" s="79" t="s">
        <v>120</v>
      </c>
      <c r="V32" s="119">
        <v>2300</v>
      </c>
      <c r="W32" s="119">
        <v>2000</v>
      </c>
      <c r="X32" s="79"/>
      <c r="Z32" s="89">
        <f t="shared" si="0"/>
        <v>17.692307692307693</v>
      </c>
      <c r="AA32" s="79">
        <v>30</v>
      </c>
    </row>
    <row r="33" spans="9:27" x14ac:dyDescent="0.25">
      <c r="I33" s="78"/>
      <c r="K33" s="127"/>
      <c r="T33" s="79">
        <v>31</v>
      </c>
      <c r="U33" s="79" t="s">
        <v>132</v>
      </c>
      <c r="V33" s="119">
        <f>V32+250</f>
        <v>2550</v>
      </c>
      <c r="W33" s="119">
        <f>W32+250</f>
        <v>2250</v>
      </c>
      <c r="Z33" s="89">
        <f t="shared" si="0"/>
        <v>18.076923076923077</v>
      </c>
      <c r="AA33" s="79">
        <v>31</v>
      </c>
    </row>
    <row r="34" spans="9:27" x14ac:dyDescent="0.25">
      <c r="I34" s="78"/>
      <c r="T34" s="79">
        <v>32</v>
      </c>
      <c r="U34" s="79" t="s">
        <v>133</v>
      </c>
      <c r="V34" s="119">
        <f t="shared" ref="V34:V47" si="1">V33+250</f>
        <v>2800</v>
      </c>
      <c r="W34" s="119">
        <f t="shared" ref="W34:W47" si="2">W33+250</f>
        <v>2500</v>
      </c>
      <c r="Z34" s="89">
        <f t="shared" si="0"/>
        <v>18.46153846153846</v>
      </c>
      <c r="AA34" s="79">
        <v>32</v>
      </c>
    </row>
    <row r="35" spans="9:27" x14ac:dyDescent="0.25">
      <c r="I35" s="78"/>
      <c r="T35" s="79">
        <v>33</v>
      </c>
      <c r="U35" s="79" t="s">
        <v>134</v>
      </c>
      <c r="V35" s="119">
        <f t="shared" si="1"/>
        <v>3050</v>
      </c>
      <c r="W35" s="119">
        <f t="shared" si="2"/>
        <v>2750</v>
      </c>
      <c r="Z35" s="89">
        <f t="shared" si="0"/>
        <v>18.846153846153843</v>
      </c>
      <c r="AA35" s="79">
        <v>33</v>
      </c>
    </row>
    <row r="36" spans="9:27" x14ac:dyDescent="0.25">
      <c r="I36" s="78"/>
      <c r="T36" s="79">
        <v>34</v>
      </c>
      <c r="U36" s="79" t="s">
        <v>135</v>
      </c>
      <c r="V36" s="119">
        <f t="shared" si="1"/>
        <v>3300</v>
      </c>
      <c r="W36" s="119">
        <f t="shared" si="2"/>
        <v>3000</v>
      </c>
      <c r="Z36" s="89">
        <f t="shared" si="0"/>
        <v>19.230769230769226</v>
      </c>
      <c r="AA36" s="79">
        <v>34</v>
      </c>
    </row>
    <row r="37" spans="9:27" x14ac:dyDescent="0.25">
      <c r="I37" s="78"/>
      <c r="T37" s="79">
        <v>35</v>
      </c>
      <c r="U37" s="79" t="s">
        <v>136</v>
      </c>
      <c r="V37" s="119">
        <f t="shared" si="1"/>
        <v>3550</v>
      </c>
      <c r="W37" s="119">
        <f t="shared" si="2"/>
        <v>3250</v>
      </c>
      <c r="Z37" s="89">
        <f t="shared" si="0"/>
        <v>19.61538461538461</v>
      </c>
      <c r="AA37" s="79">
        <v>35</v>
      </c>
    </row>
    <row r="38" spans="9:27" x14ac:dyDescent="0.25">
      <c r="I38" s="78"/>
      <c r="T38" s="79">
        <v>36</v>
      </c>
      <c r="U38" s="79" t="s">
        <v>137</v>
      </c>
      <c r="V38" s="119">
        <f t="shared" si="1"/>
        <v>3800</v>
      </c>
      <c r="W38" s="119">
        <f t="shared" si="2"/>
        <v>3500</v>
      </c>
      <c r="Z38" s="89">
        <f t="shared" si="0"/>
        <v>19.999999999999993</v>
      </c>
      <c r="AA38" s="79">
        <v>36</v>
      </c>
    </row>
    <row r="39" spans="9:27" x14ac:dyDescent="0.25">
      <c r="I39" s="78"/>
      <c r="T39" s="79">
        <v>37</v>
      </c>
      <c r="U39" s="79" t="s">
        <v>138</v>
      </c>
      <c r="V39" s="119">
        <f t="shared" si="1"/>
        <v>4050</v>
      </c>
      <c r="W39" s="119">
        <f t="shared" si="2"/>
        <v>3750</v>
      </c>
      <c r="Z39" s="89"/>
    </row>
    <row r="40" spans="9:27" x14ac:dyDescent="0.25">
      <c r="I40" s="78"/>
      <c r="T40" s="79">
        <v>38</v>
      </c>
      <c r="U40" s="79" t="s">
        <v>139</v>
      </c>
      <c r="V40" s="119">
        <f t="shared" si="1"/>
        <v>4300</v>
      </c>
      <c r="W40" s="119">
        <f t="shared" si="2"/>
        <v>4000</v>
      </c>
      <c r="Z40" s="89"/>
    </row>
    <row r="41" spans="9:27" x14ac:dyDescent="0.25">
      <c r="I41" s="78"/>
      <c r="T41" s="79">
        <v>39</v>
      </c>
      <c r="U41" s="79" t="s">
        <v>140</v>
      </c>
      <c r="V41" s="119">
        <f t="shared" si="1"/>
        <v>4550</v>
      </c>
      <c r="W41" s="119">
        <f t="shared" si="2"/>
        <v>4250</v>
      </c>
      <c r="Z41" s="89"/>
    </row>
    <row r="42" spans="9:27" x14ac:dyDescent="0.25">
      <c r="I42" s="78"/>
      <c r="T42" s="79">
        <v>40</v>
      </c>
      <c r="U42" s="79" t="s">
        <v>141</v>
      </c>
      <c r="V42" s="119">
        <f t="shared" si="1"/>
        <v>4800</v>
      </c>
      <c r="W42" s="119">
        <f t="shared" si="2"/>
        <v>4500</v>
      </c>
      <c r="Z42" s="89"/>
    </row>
    <row r="43" spans="9:27" x14ac:dyDescent="0.25">
      <c r="I43" s="78"/>
      <c r="T43" s="79">
        <v>41</v>
      </c>
      <c r="U43" s="79" t="s">
        <v>142</v>
      </c>
      <c r="V43" s="119">
        <f t="shared" si="1"/>
        <v>5050</v>
      </c>
      <c r="W43" s="119">
        <f t="shared" si="2"/>
        <v>4750</v>
      </c>
      <c r="Z43" s="89"/>
    </row>
    <row r="44" spans="9:27" x14ac:dyDescent="0.25">
      <c r="I44" s="78"/>
      <c r="T44" s="79">
        <v>42</v>
      </c>
      <c r="U44" s="79" t="s">
        <v>143</v>
      </c>
      <c r="V44" s="119">
        <f t="shared" si="1"/>
        <v>5300</v>
      </c>
      <c r="W44" s="119">
        <f t="shared" si="2"/>
        <v>5000</v>
      </c>
      <c r="Z44" s="89"/>
    </row>
    <row r="45" spans="9:27" x14ac:dyDescent="0.25">
      <c r="I45" s="78"/>
      <c r="T45" s="79">
        <v>43</v>
      </c>
      <c r="U45" s="79" t="s">
        <v>144</v>
      </c>
      <c r="V45" s="119">
        <f t="shared" si="1"/>
        <v>5550</v>
      </c>
      <c r="W45" s="119">
        <f t="shared" si="2"/>
        <v>5250</v>
      </c>
      <c r="Z45" s="89"/>
    </row>
    <row r="46" spans="9:27" x14ac:dyDescent="0.25">
      <c r="I46" s="78"/>
      <c r="K46" s="127"/>
      <c r="T46" s="79">
        <v>44</v>
      </c>
      <c r="U46" s="79" t="s">
        <v>145</v>
      </c>
      <c r="V46" s="119">
        <f t="shared" si="1"/>
        <v>5800</v>
      </c>
      <c r="W46" s="119">
        <f t="shared" si="2"/>
        <v>5500</v>
      </c>
      <c r="Z46" s="89"/>
    </row>
    <row r="47" spans="9:27" x14ac:dyDescent="0.25">
      <c r="I47" s="78"/>
      <c r="T47" s="79">
        <v>45</v>
      </c>
      <c r="U47" s="79" t="s">
        <v>146</v>
      </c>
      <c r="V47" s="119">
        <f t="shared" si="1"/>
        <v>6050</v>
      </c>
      <c r="W47" s="119">
        <f t="shared" si="2"/>
        <v>5750</v>
      </c>
      <c r="Z47" s="89"/>
    </row>
    <row r="48" spans="9:27" x14ac:dyDescent="0.25">
      <c r="I48" s="78"/>
    </row>
    <row r="49" spans="9:9" x14ac:dyDescent="0.25">
      <c r="I49" s="78"/>
    </row>
    <row r="50" spans="9:9" x14ac:dyDescent="0.25">
      <c r="I50" s="78"/>
    </row>
    <row r="51" spans="9:9" x14ac:dyDescent="0.25">
      <c r="I51" s="78"/>
    </row>
    <row r="52" spans="9:9" x14ac:dyDescent="0.25">
      <c r="I52" s="78"/>
    </row>
    <row r="53" spans="9:9" x14ac:dyDescent="0.25">
      <c r="I53" s="78"/>
    </row>
    <row r="54" spans="9:9" x14ac:dyDescent="0.25">
      <c r="I54" s="78"/>
    </row>
    <row r="55" spans="9:9" x14ac:dyDescent="0.25">
      <c r="I55" s="78"/>
    </row>
    <row r="56" spans="9:9" x14ac:dyDescent="0.25">
      <c r="I56" s="78"/>
    </row>
    <row r="57" spans="9:9" x14ac:dyDescent="0.25">
      <c r="I57" s="78"/>
    </row>
    <row r="58" spans="9:9" x14ac:dyDescent="0.25">
      <c r="I58" s="78"/>
    </row>
    <row r="59" spans="9:9" x14ac:dyDescent="0.25">
      <c r="I59" s="78"/>
    </row>
    <row r="60" spans="9:9" x14ac:dyDescent="0.25">
      <c r="I60" s="78"/>
    </row>
    <row r="61" spans="9:9" x14ac:dyDescent="0.25">
      <c r="I61" s="78"/>
    </row>
  </sheetData>
  <sheetProtection sheet="1" objects="1" scenarios="1" selectLockedCells="1"/>
  <sortState ref="AE14:AE23">
    <sortCondition ref="AE14"/>
  </sortState>
  <mergeCells count="2">
    <mergeCell ref="A1:R2"/>
    <mergeCell ref="C16:E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 Page</vt:lpstr>
      <vt:lpstr>MIsc. Criteria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HEARD</dc:creator>
  <cp:lastModifiedBy>Bruce HEARD</cp:lastModifiedBy>
  <dcterms:created xsi:type="dcterms:W3CDTF">2021-03-31T14:59:35Z</dcterms:created>
  <dcterms:modified xsi:type="dcterms:W3CDTF">2021-04-22T12:02:18Z</dcterms:modified>
</cp:coreProperties>
</file>