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0" windowWidth="12180" windowHeight="8835" activeTab="1"/>
  </bookViews>
  <sheets>
    <sheet name="Way to use" sheetId="1" r:id="rId1"/>
    <sheet name="Record Sheet" sheetId="2" r:id="rId2"/>
    <sheet name="Sheet2" sheetId="3" r:id="rId3"/>
    <sheet name="Sheet3" sheetId="4" r:id="rId4"/>
  </sheets>
  <definedNames>
    <definedName name="_xlnm.Print_Area" localSheetId="1">'Record Sheet'!$A$1:$AZ$80</definedName>
  </definedNames>
  <calcPr fullCalcOnLoad="1"/>
</workbook>
</file>

<file path=xl/sharedStrings.xml><?xml version="1.0" encoding="utf-8"?>
<sst xmlns="http://schemas.openxmlformats.org/spreadsheetml/2006/main" count="3239" uniqueCount="897">
  <si>
    <t>Player's Name</t>
  </si>
  <si>
    <t>Character's Name</t>
  </si>
  <si>
    <t>Character's Titles</t>
  </si>
  <si>
    <t>Dungeon Master</t>
  </si>
  <si>
    <t>Level</t>
  </si>
  <si>
    <t>HD</t>
  </si>
  <si>
    <t>Race</t>
  </si>
  <si>
    <t>Sex</t>
  </si>
  <si>
    <t>Date of Birth</t>
  </si>
  <si>
    <t>Time of Birth</t>
  </si>
  <si>
    <t>Birthplace</t>
  </si>
  <si>
    <t>Height</t>
  </si>
  <si>
    <t>Weight</t>
  </si>
  <si>
    <t>Width</t>
  </si>
  <si>
    <t>Fitness</t>
  </si>
  <si>
    <t>Handedness</t>
  </si>
  <si>
    <t>Shoesize</t>
  </si>
  <si>
    <t>BWB sizes</t>
  </si>
  <si>
    <t>Eyecolor Iris</t>
  </si>
  <si>
    <t>Eyecolor Pupil</t>
  </si>
  <si>
    <t>Eyecolor Sclera</t>
  </si>
  <si>
    <t>Skin Color</t>
  </si>
  <si>
    <t>Hair Length</t>
  </si>
  <si>
    <t>Beard Length</t>
  </si>
  <si>
    <t>Special Physical Appearance:</t>
  </si>
  <si>
    <t>Feith</t>
  </si>
  <si>
    <t>Holy Symbol</t>
  </si>
  <si>
    <t>Coat of Arms</t>
  </si>
  <si>
    <t>Liege</t>
  </si>
  <si>
    <t>Star Sign</t>
  </si>
  <si>
    <t>Ascendant</t>
  </si>
  <si>
    <t>Influence</t>
  </si>
  <si>
    <t>Alignment</t>
  </si>
  <si>
    <t>Social Standing</t>
  </si>
  <si>
    <t>Family Status</t>
  </si>
  <si>
    <t>Nationality</t>
  </si>
  <si>
    <t>Homestead</t>
  </si>
  <si>
    <t>Cautious</t>
  </si>
  <si>
    <t>Modest</t>
  </si>
  <si>
    <t>Peaceful</t>
  </si>
  <si>
    <t>Generous</t>
  </si>
  <si>
    <t>Courageous</t>
  </si>
  <si>
    <t>Reverent</t>
  </si>
  <si>
    <t>Forgiving</t>
  </si>
  <si>
    <t>Energetic</t>
  </si>
  <si>
    <t>Honest</t>
  </si>
  <si>
    <t>Trusting</t>
  </si>
  <si>
    <t>Loyal</t>
  </si>
  <si>
    <t>Dogmatic</t>
  </si>
  <si>
    <t>Rash</t>
  </si>
  <si>
    <t>Proud</t>
  </si>
  <si>
    <t>Violent</t>
  </si>
  <si>
    <t>Greedy</t>
  </si>
  <si>
    <t>Fearful</t>
  </si>
  <si>
    <t>Godless</t>
  </si>
  <si>
    <t>Vengeful</t>
  </si>
  <si>
    <t>Lazy</t>
  </si>
  <si>
    <t>Deceitful</t>
  </si>
  <si>
    <t>Suspicious</t>
  </si>
  <si>
    <t>Unreliable</t>
  </si>
  <si>
    <t>Openminded</t>
  </si>
  <si>
    <t>Personality Background</t>
  </si>
  <si>
    <t>Important Past Experience</t>
  </si>
  <si>
    <t>Training Background</t>
  </si>
  <si>
    <t>Beginning Skills</t>
  </si>
  <si>
    <t>Character Building Sheet</t>
  </si>
  <si>
    <t>Likes</t>
  </si>
  <si>
    <t>Dislikes</t>
  </si>
  <si>
    <t>Afraid of</t>
  </si>
  <si>
    <t>Attack Record Sheet</t>
  </si>
  <si>
    <t>Abilities</t>
  </si>
  <si>
    <t>Saving Throws</t>
  </si>
  <si>
    <t>Prime Rec. Bonus</t>
  </si>
  <si>
    <t>Strength</t>
  </si>
  <si>
    <t>Intelligence</t>
  </si>
  <si>
    <t>Wisdom</t>
  </si>
  <si>
    <t>Dexterity</t>
  </si>
  <si>
    <t>Constitution</t>
  </si>
  <si>
    <t>Charisma</t>
  </si>
  <si>
    <t>Comelience</t>
  </si>
  <si>
    <t>Languages, Skills</t>
  </si>
  <si>
    <t>Saving Throws vs. Magic</t>
  </si>
  <si>
    <t>Missile Attacks</t>
  </si>
  <si>
    <t>Attack, Damage, Open Doors</t>
  </si>
  <si>
    <t>Hit points (HD/Lvl)</t>
  </si>
  <si>
    <t>Retainers, Reactions</t>
  </si>
  <si>
    <t>Reactions, Love</t>
  </si>
  <si>
    <t>Magical Bonus to Savings</t>
  </si>
  <si>
    <t>Death Ray</t>
  </si>
  <si>
    <t>Magic Wands</t>
  </si>
  <si>
    <t>Rod, Staf, Spell</t>
  </si>
  <si>
    <t>Dragon Breath</t>
  </si>
  <si>
    <t>Paralysis, T.to Stone</t>
  </si>
  <si>
    <t>XP Needed</t>
  </si>
  <si>
    <t>XP</t>
  </si>
  <si>
    <t>Addicted To</t>
  </si>
  <si>
    <t>Hair Color/Style</t>
  </si>
  <si>
    <t>Beard Color/Style</t>
  </si>
  <si>
    <t>Ability</t>
  </si>
  <si>
    <t>Skill</t>
  </si>
  <si>
    <t>Additional Skills</t>
  </si>
  <si>
    <t>Whelp/Baby</t>
  </si>
  <si>
    <t>Youngster/Child</t>
  </si>
  <si>
    <t>Teenager</t>
  </si>
  <si>
    <t>Adult</t>
  </si>
  <si>
    <t>Mature</t>
  </si>
  <si>
    <t>Elder</t>
  </si>
  <si>
    <t>Death</t>
  </si>
  <si>
    <t>Birthdate</t>
  </si>
  <si>
    <t>Relation</t>
  </si>
  <si>
    <t>Status</t>
  </si>
  <si>
    <t>Father</t>
  </si>
  <si>
    <t>Mother</t>
  </si>
  <si>
    <t>Family Members/Friends</t>
  </si>
  <si>
    <t>Youth Love</t>
  </si>
  <si>
    <t>Care</t>
  </si>
  <si>
    <t>Horse</t>
  </si>
  <si>
    <t>Other</t>
  </si>
  <si>
    <t>Daily Personal Costs</t>
  </si>
  <si>
    <t>WM</t>
  </si>
  <si>
    <t>Damage</t>
  </si>
  <si>
    <t>Base</t>
  </si>
  <si>
    <t>Special</t>
  </si>
  <si>
    <t>Magic</t>
  </si>
  <si>
    <t>1+</t>
  </si>
  <si>
    <t>melee</t>
  </si>
  <si>
    <t>special</t>
  </si>
  <si>
    <t>Type Weapon/Name</t>
  </si>
  <si>
    <t>Base AC</t>
  </si>
  <si>
    <t>Shield</t>
  </si>
  <si>
    <t>Armor</t>
  </si>
  <si>
    <t>AV</t>
  </si>
  <si>
    <t>Total per Month</t>
  </si>
  <si>
    <t>Total per Day</t>
  </si>
  <si>
    <t>Best Friend</t>
  </si>
  <si>
    <t>Preferred Weapons</t>
  </si>
  <si>
    <t>Active</t>
  </si>
  <si>
    <t>Passive</t>
  </si>
  <si>
    <t>Current Hp</t>
  </si>
  <si>
    <t>Lvl</t>
  </si>
  <si>
    <t>Hp</t>
  </si>
  <si>
    <t>Spells</t>
  </si>
  <si>
    <t>Type</t>
  </si>
  <si>
    <t>Teacher</t>
  </si>
  <si>
    <t>Thief Abilities</t>
  </si>
  <si>
    <t>OL</t>
  </si>
  <si>
    <t>FT</t>
  </si>
  <si>
    <t>RT</t>
  </si>
  <si>
    <t>MS</t>
  </si>
  <si>
    <t>HiS</t>
  </si>
  <si>
    <t>HN</t>
  </si>
  <si>
    <t>CW</t>
  </si>
  <si>
    <t>TF</t>
  </si>
  <si>
    <t>PP</t>
  </si>
  <si>
    <t>Turn Undead</t>
  </si>
  <si>
    <t>Skeleton</t>
  </si>
  <si>
    <t>Zombie</t>
  </si>
  <si>
    <t>Ghoul</t>
  </si>
  <si>
    <t>Wight</t>
  </si>
  <si>
    <t>Wraith</t>
  </si>
  <si>
    <t>Mummy</t>
  </si>
  <si>
    <t>Spectre</t>
  </si>
  <si>
    <t>Vampire</t>
  </si>
  <si>
    <t>Phantom</t>
  </si>
  <si>
    <t>Haunt</t>
  </si>
  <si>
    <t>Spirit</t>
  </si>
  <si>
    <t>Nightshade</t>
  </si>
  <si>
    <t>Lich</t>
  </si>
  <si>
    <t>Merchant Spells</t>
  </si>
  <si>
    <t>MXP needed</t>
  </si>
  <si>
    <t xml:space="preserve">MXP  </t>
  </si>
  <si>
    <t>Broker Points</t>
  </si>
  <si>
    <t>Languages</t>
  </si>
  <si>
    <t>Wrestling Rate</t>
  </si>
  <si>
    <t>Free</t>
  </si>
  <si>
    <t>Grab</t>
  </si>
  <si>
    <t>Takedown</t>
  </si>
  <si>
    <t>Pin</t>
  </si>
  <si>
    <t>Armored</t>
  </si>
  <si>
    <t>Unarmored</t>
  </si>
  <si>
    <t>to pinned WR</t>
  </si>
  <si>
    <t>WR Damage</t>
  </si>
  <si>
    <t>P</t>
  </si>
  <si>
    <t>S</t>
  </si>
  <si>
    <t>Momentary Adjustments To THAC0</t>
  </si>
  <si>
    <t>and AC</t>
  </si>
  <si>
    <t>and Saves</t>
  </si>
  <si>
    <t>Infravision</t>
  </si>
  <si>
    <t>Detect Secret Door</t>
  </si>
  <si>
    <t>Detect Slopes</t>
  </si>
  <si>
    <t>Detect Construction</t>
  </si>
  <si>
    <t>Determine Depth</t>
  </si>
  <si>
    <t>Determine Direction</t>
  </si>
  <si>
    <t>Detect Stone Traps</t>
  </si>
  <si>
    <t>Detect Sliding Walls</t>
  </si>
  <si>
    <t>Lvl/2 +(Strength and Dexterity adjustments)+9-AV</t>
  </si>
  <si>
    <t>Shove/Push</t>
  </si>
  <si>
    <t>Lift/Heave</t>
  </si>
  <si>
    <t>No Air</t>
  </si>
  <si>
    <t>Break/Bend</t>
  </si>
  <si>
    <t>No food</t>
  </si>
  <si>
    <t>No water</t>
  </si>
  <si>
    <t>Extreme activity</t>
  </si>
  <si>
    <t>Raised</t>
  </si>
  <si>
    <t>Healing rest 8Hr+</t>
  </si>
  <si>
    <t>Rest less than 8Hr</t>
  </si>
  <si>
    <t>Walk</t>
  </si>
  <si>
    <t>Jog</t>
  </si>
  <si>
    <t>Swim</t>
  </si>
  <si>
    <t>Swim duration</t>
  </si>
  <si>
    <t>Basic Tolerance Levels (adjusted By DM)</t>
  </si>
  <si>
    <t>Stench</t>
  </si>
  <si>
    <t>Other Combat Information</t>
  </si>
  <si>
    <t>None</t>
  </si>
  <si>
    <t>Light</t>
  </si>
  <si>
    <t>Moderate</t>
  </si>
  <si>
    <t>Heavy</t>
  </si>
  <si>
    <t>Severe</t>
  </si>
  <si>
    <t>Maximum</t>
  </si>
  <si>
    <t>none</t>
  </si>
  <si>
    <t>THAC0+1</t>
  </si>
  <si>
    <t>THAC0+2, AC+1</t>
  </si>
  <si>
    <t>THAC0+4, AC+3</t>
  </si>
  <si>
    <t>Effects</t>
  </si>
  <si>
    <t>1 Mile=1760 Yards=4828 feet</t>
  </si>
  <si>
    <t>a creature must rest 1 day/8 travelled</t>
  </si>
  <si>
    <t>Movement vs. Encumbrance in feet/ round</t>
  </si>
  <si>
    <t>walk</t>
  </si>
  <si>
    <t>Run</t>
  </si>
  <si>
    <t>Sink 10/r</t>
  </si>
  <si>
    <t>Sink 20'/r</t>
  </si>
  <si>
    <t>Sink 30'/r</t>
  </si>
  <si>
    <t>Sink 40'/r</t>
  </si>
  <si>
    <t>Sink 50'/r</t>
  </si>
  <si>
    <t>Trail</t>
  </si>
  <si>
    <t>Road</t>
  </si>
  <si>
    <t>1T4m</t>
  </si>
  <si>
    <t>1T8m</t>
  </si>
  <si>
    <t>4T</t>
  </si>
  <si>
    <t>2T1m</t>
  </si>
  <si>
    <t>5T4m</t>
  </si>
  <si>
    <t>1Hr4T6m</t>
  </si>
  <si>
    <t>2T</t>
  </si>
  <si>
    <t>1Hr2T</t>
  </si>
  <si>
    <t>2Hr4T</t>
  </si>
  <si>
    <t>Clear</t>
  </si>
  <si>
    <t>City</t>
  </si>
  <si>
    <t>Grass</t>
  </si>
  <si>
    <t>Movement Encumbrance Sheet</t>
  </si>
  <si>
    <t>Forest</t>
  </si>
  <si>
    <t>Mountain</t>
  </si>
  <si>
    <t>Ice</t>
  </si>
  <si>
    <t>Desert</t>
  </si>
  <si>
    <t>Swamp</t>
  </si>
  <si>
    <t>Glacier</t>
  </si>
  <si>
    <t>Snow</t>
  </si>
  <si>
    <t>Broken</t>
  </si>
  <si>
    <t>Jungle</t>
  </si>
  <si>
    <t>3T</t>
  </si>
  <si>
    <t>1Hr</t>
  </si>
  <si>
    <t>2Hr</t>
  </si>
  <si>
    <t>4Hr</t>
  </si>
  <si>
    <t>3Hr4T</t>
  </si>
  <si>
    <t>7Hr2T</t>
  </si>
  <si>
    <t>8Hr</t>
  </si>
  <si>
    <t>Getting lost</t>
  </si>
  <si>
    <t>if no guide available</t>
  </si>
  <si>
    <t>0+</t>
  </si>
  <si>
    <t>2+</t>
  </si>
  <si>
    <t>no chance</t>
  </si>
  <si>
    <t>1 on 6</t>
  </si>
  <si>
    <t>1-2 on 6</t>
  </si>
  <si>
    <t>1-3 on 6</t>
  </si>
  <si>
    <t>Weapons and Armor Worn</t>
  </si>
  <si>
    <t xml:space="preserve">  </t>
  </si>
  <si>
    <t>Total Encumbrance</t>
  </si>
  <si>
    <t>Money Pouch</t>
  </si>
  <si>
    <t>cp</t>
  </si>
  <si>
    <t>sp</t>
  </si>
  <si>
    <t>ep</t>
  </si>
  <si>
    <t>gp</t>
  </si>
  <si>
    <t>pp</t>
  </si>
  <si>
    <t>gems</t>
  </si>
  <si>
    <t>Total</t>
  </si>
  <si>
    <t>Magic Items</t>
  </si>
  <si>
    <t>Rations (Iron)</t>
  </si>
  <si>
    <t>Rations (Standard)</t>
  </si>
  <si>
    <t>Rations (Elven)</t>
  </si>
  <si>
    <t>Rations (Dwarven)</t>
  </si>
  <si>
    <t>Waterskin</t>
  </si>
  <si>
    <t>Wineskin</t>
  </si>
  <si>
    <t>Torch</t>
  </si>
  <si>
    <t>Oilflask (Ceramic)</t>
  </si>
  <si>
    <t>Oilflask (Metal)</t>
  </si>
  <si>
    <t>Spike (Iron)</t>
  </si>
  <si>
    <t>Wedge</t>
  </si>
  <si>
    <t>Rope</t>
  </si>
  <si>
    <t>Small Sack</t>
  </si>
  <si>
    <t>Large Sack</t>
  </si>
  <si>
    <t>Backpack</t>
  </si>
  <si>
    <t>Worn Clothing, Jewelry adding to Encumbrance</t>
  </si>
  <si>
    <t>Other Equipment carried</t>
  </si>
  <si>
    <t>Adventure Record Sheet</t>
  </si>
  <si>
    <t>Locations</t>
  </si>
  <si>
    <t>Companions</t>
  </si>
  <si>
    <t>Monsters encountered</t>
  </si>
  <si>
    <t>Humanoids encountered</t>
  </si>
  <si>
    <t>Animals encountered</t>
  </si>
  <si>
    <t>Undead encountered</t>
  </si>
  <si>
    <t>Special Characters or Monsters encountered</t>
  </si>
  <si>
    <t>Dates</t>
  </si>
  <si>
    <t>Treasures Found and Taken</t>
  </si>
  <si>
    <t>Gems</t>
  </si>
  <si>
    <t>Jewelry</t>
  </si>
  <si>
    <t>Weapons/Armor Found</t>
  </si>
  <si>
    <t>Magic Items Found</t>
  </si>
  <si>
    <t>Information Gained</t>
  </si>
  <si>
    <t>Other Items or Information Gained</t>
  </si>
  <si>
    <t>Tax to be paid</t>
  </si>
  <si>
    <t xml:space="preserve">Notice </t>
  </si>
  <si>
    <t>Age Effects apply on;</t>
  </si>
  <si>
    <t>Running/Fighting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</si>
  <si>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</si>
  <si>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</si>
  <si>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</si>
  <si>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</si>
  <si>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</si>
  <si>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</si>
  <si>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</si>
  <si>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</si>
  <si>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</si>
  <si>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</si>
  <si>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</si>
  <si>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</si>
  <si>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</si>
  <si>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</si>
  <si>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</si>
  <si>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</si>
  <si>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</si>
  <si>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</si>
  <si>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</si>
  <si>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</si>
  <si>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</si>
  <si>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</si>
  <si>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</si>
  <si>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</si>
  <si>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</si>
  <si>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</si>
  <si>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</si>
  <si>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</si>
  <si>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</si>
  <si>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</si>
  <si>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</si>
  <si>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17-20</t>
  </si>
  <si>
    <t>21-24</t>
  </si>
  <si>
    <t>25-28</t>
  </si>
  <si>
    <t>36</t>
  </si>
  <si>
    <t>29-32</t>
  </si>
  <si>
    <t>+3</t>
  </si>
  <si>
    <t>0</t>
  </si>
  <si>
    <t>+1</t>
  </si>
  <si>
    <t>+2</t>
  </si>
  <si>
    <t>38</t>
  </si>
  <si>
    <t>46</t>
  </si>
  <si>
    <t>56</t>
  </si>
  <si>
    <t>65</t>
  </si>
  <si>
    <t>72</t>
  </si>
  <si>
    <t>81</t>
  </si>
  <si>
    <t>83</t>
  </si>
  <si>
    <t>-</t>
  </si>
  <si>
    <t xml:space="preserve"> +4 vs other followers</t>
  </si>
  <si>
    <t>days</t>
  </si>
  <si>
    <t>Hr</t>
  </si>
  <si>
    <t>rounds</t>
  </si>
  <si>
    <t>day</t>
  </si>
  <si>
    <t>24Hr</t>
  </si>
  <si>
    <t>Class</t>
  </si>
  <si>
    <t>Saves</t>
  </si>
  <si>
    <t>DR</t>
  </si>
  <si>
    <t>MW</t>
  </si>
  <si>
    <t>TS</t>
  </si>
  <si>
    <t>DB</t>
  </si>
  <si>
    <t>SP</t>
  </si>
  <si>
    <t>Weapon Mastery</t>
  </si>
  <si>
    <t>0-36</t>
  </si>
  <si>
    <t>NA</t>
  </si>
  <si>
    <t>70 or 30</t>
  </si>
  <si>
    <t>1</t>
  </si>
  <si>
    <t>1d4</t>
  </si>
  <si>
    <t>87</t>
  </si>
  <si>
    <t>2 Basic</t>
  </si>
  <si>
    <t>1200</t>
  </si>
  <si>
    <t>+1d4</t>
  </si>
  <si>
    <t>35</t>
  </si>
  <si>
    <t>88</t>
  </si>
  <si>
    <t>2400</t>
  </si>
  <si>
    <t>40</t>
  </si>
  <si>
    <t>89</t>
  </si>
  <si>
    <t>3  Basic</t>
  </si>
  <si>
    <t>4800</t>
  </si>
  <si>
    <t>45</t>
  </si>
  <si>
    <t>90</t>
  </si>
  <si>
    <t>9.600</t>
  </si>
  <si>
    <t>50</t>
  </si>
  <si>
    <t>91</t>
  </si>
  <si>
    <t>20.000</t>
  </si>
  <si>
    <t>34</t>
  </si>
  <si>
    <t>44</t>
  </si>
  <si>
    <t>54</t>
  </si>
  <si>
    <t>92</t>
  </si>
  <si>
    <t>4 Basic</t>
  </si>
  <si>
    <t>40.000</t>
  </si>
  <si>
    <t>48</t>
  </si>
  <si>
    <t>58</t>
  </si>
  <si>
    <t>93</t>
  </si>
  <si>
    <t>80.000</t>
  </si>
  <si>
    <t>Thief</t>
  </si>
  <si>
    <t>42</t>
  </si>
  <si>
    <t>55</t>
  </si>
  <si>
    <t>52</t>
  </si>
  <si>
    <t>62</t>
  </si>
  <si>
    <t>94</t>
  </si>
  <si>
    <t>160.000</t>
  </si>
  <si>
    <t>60</t>
  </si>
  <si>
    <t>41</t>
  </si>
  <si>
    <t>66</t>
  </si>
  <si>
    <t>95</t>
  </si>
  <si>
    <t>5 Basic</t>
  </si>
  <si>
    <t>280.000</t>
  </si>
  <si>
    <t xml:space="preserve">+2*    </t>
  </si>
  <si>
    <t>70</t>
  </si>
  <si>
    <t>96</t>
  </si>
  <si>
    <t>400.000</t>
  </si>
  <si>
    <t>61</t>
  </si>
  <si>
    <t>47</t>
  </si>
  <si>
    <t>74</t>
  </si>
  <si>
    <t>97</t>
  </si>
  <si>
    <t>6 Basic</t>
  </si>
  <si>
    <t>520.000</t>
  </si>
  <si>
    <t>75</t>
  </si>
  <si>
    <t>64</t>
  </si>
  <si>
    <t>78</t>
  </si>
  <si>
    <t>98</t>
  </si>
  <si>
    <t>640.000</t>
  </si>
  <si>
    <t>69</t>
  </si>
  <si>
    <t>80</t>
  </si>
  <si>
    <t>53</t>
  </si>
  <si>
    <t>99</t>
  </si>
  <si>
    <t>760.000</t>
  </si>
  <si>
    <t>85</t>
  </si>
  <si>
    <t>68</t>
  </si>
  <si>
    <t>84</t>
  </si>
  <si>
    <t>100</t>
  </si>
  <si>
    <t>880.000</t>
  </si>
  <si>
    <t>73</t>
  </si>
  <si>
    <t>67</t>
  </si>
  <si>
    <t>101</t>
  </si>
  <si>
    <t>7 Basic</t>
  </si>
  <si>
    <t>1.000.000</t>
  </si>
  <si>
    <t>76</t>
  </si>
  <si>
    <t>102</t>
  </si>
  <si>
    <t>1.120.000</t>
  </si>
  <si>
    <t>103</t>
  </si>
  <si>
    <t>1.240.000</t>
  </si>
  <si>
    <t>105</t>
  </si>
  <si>
    <t>104</t>
  </si>
  <si>
    <t>1.360.000</t>
  </si>
  <si>
    <t>86</t>
  </si>
  <si>
    <t>79</t>
  </si>
  <si>
    <t>110</t>
  </si>
  <si>
    <t>1.480.000</t>
  </si>
  <si>
    <t>82</t>
  </si>
  <si>
    <t>115</t>
  </si>
  <si>
    <t>106</t>
  </si>
  <si>
    <t>1.600.000</t>
  </si>
  <si>
    <t>120</t>
  </si>
  <si>
    <t>107</t>
  </si>
  <si>
    <t>1.720.000</t>
  </si>
  <si>
    <t>125</t>
  </si>
  <si>
    <t>108</t>
  </si>
  <si>
    <t xml:space="preserve">1.840.000 </t>
  </si>
  <si>
    <t>130</t>
  </si>
  <si>
    <t>109</t>
  </si>
  <si>
    <t>8 Basic</t>
  </si>
  <si>
    <t>1.960.000</t>
  </si>
  <si>
    <t>135</t>
  </si>
  <si>
    <t xml:space="preserve">2.080.000 </t>
  </si>
  <si>
    <t>140</t>
  </si>
  <si>
    <t>111</t>
  </si>
  <si>
    <t xml:space="preserve">2.200.000 </t>
  </si>
  <si>
    <t>145</t>
  </si>
  <si>
    <t>112</t>
  </si>
  <si>
    <t xml:space="preserve">2.320.000 </t>
  </si>
  <si>
    <t>150</t>
  </si>
  <si>
    <t>113</t>
  </si>
  <si>
    <t xml:space="preserve">2.440.000 </t>
  </si>
  <si>
    <t>155</t>
  </si>
  <si>
    <t>114</t>
  </si>
  <si>
    <t xml:space="preserve">2.560.000 </t>
  </si>
  <si>
    <t>160</t>
  </si>
  <si>
    <t>116</t>
  </si>
  <si>
    <t xml:space="preserve">2.680.000 </t>
  </si>
  <si>
    <t>165</t>
  </si>
  <si>
    <t>118</t>
  </si>
  <si>
    <t>9 Basic</t>
  </si>
  <si>
    <t xml:space="preserve">2.800.000 </t>
  </si>
  <si>
    <t>170</t>
  </si>
  <si>
    <t>117</t>
  </si>
  <si>
    <t>2.920.000</t>
  </si>
  <si>
    <t>175</t>
  </si>
  <si>
    <t>122</t>
  </si>
  <si>
    <t>33</t>
  </si>
  <si>
    <t xml:space="preserve">3.040.000 </t>
  </si>
  <si>
    <t>121</t>
  </si>
  <si>
    <t>180</t>
  </si>
  <si>
    <t>124</t>
  </si>
  <si>
    <t>3.160.000</t>
  </si>
  <si>
    <t>185</t>
  </si>
  <si>
    <t>126</t>
  </si>
  <si>
    <t>119</t>
  </si>
  <si>
    <t xml:space="preserve">3.280.000  </t>
  </si>
  <si>
    <t>127</t>
  </si>
  <si>
    <t>190</t>
  </si>
  <si>
    <t>128</t>
  </si>
  <si>
    <t xml:space="preserve">3.400.000 </t>
  </si>
  <si>
    <t>195</t>
  </si>
  <si>
    <t>10 Basic.</t>
  </si>
  <si>
    <t xml:space="preserve"> </t>
  </si>
  <si>
    <t>Xp</t>
  </si>
  <si>
    <t>HS</t>
  </si>
  <si>
    <t xml:space="preserve">+1*    </t>
  </si>
  <si>
    <t xml:space="preserve">+1*   </t>
  </si>
  <si>
    <t>10 Basic</t>
  </si>
  <si>
    <t>11 Basic</t>
  </si>
  <si>
    <t xml:space="preserve">2.920.000 </t>
  </si>
  <si>
    <t xml:space="preserve">3.280.000 </t>
  </si>
  <si>
    <t>Special Abilities</t>
  </si>
  <si>
    <t>2d4</t>
  </si>
  <si>
    <t xml:space="preserve">Lance Attack / Set Spear </t>
  </si>
  <si>
    <t>2000</t>
  </si>
  <si>
    <t>+1d8</t>
  </si>
  <si>
    <t>4000</t>
  </si>
  <si>
    <t>8000</t>
  </si>
  <si>
    <t>16.000</t>
  </si>
  <si>
    <t>32.000</t>
  </si>
  <si>
    <t>All SK Allowed</t>
  </si>
  <si>
    <t>64.000</t>
  </si>
  <si>
    <t>120.000</t>
  </si>
  <si>
    <t>240.000</t>
  </si>
  <si>
    <t>Smash / Parry / Disarm</t>
  </si>
  <si>
    <t>360.000</t>
  </si>
  <si>
    <t>+2*</t>
  </si>
  <si>
    <t>480.000</t>
  </si>
  <si>
    <t>600.000</t>
  </si>
  <si>
    <t>2 Attacks</t>
  </si>
  <si>
    <t>All XP Allowed</t>
  </si>
  <si>
    <t>720.000</t>
  </si>
  <si>
    <t>840.000</t>
  </si>
  <si>
    <t>960.000</t>
  </si>
  <si>
    <t>1.080.000</t>
  </si>
  <si>
    <t>1.200.000</t>
  </si>
  <si>
    <t>1.320.000</t>
  </si>
  <si>
    <t>1.440.000</t>
  </si>
  <si>
    <t>1.560.000</t>
  </si>
  <si>
    <t>1.680.000</t>
  </si>
  <si>
    <t>1.800.000</t>
  </si>
  <si>
    <t xml:space="preserve">1.920.000 </t>
  </si>
  <si>
    <t xml:space="preserve">2.040.000 </t>
  </si>
  <si>
    <t>3 Attacks</t>
  </si>
  <si>
    <t>12 Basic</t>
  </si>
  <si>
    <t>All MS Allowed</t>
  </si>
  <si>
    <t xml:space="preserve">2.160.000 </t>
  </si>
  <si>
    <t xml:space="preserve">2.280.000 </t>
  </si>
  <si>
    <t xml:space="preserve">2.400.000 </t>
  </si>
  <si>
    <t>13 Basic</t>
  </si>
  <si>
    <t xml:space="preserve">2.520.000 </t>
  </si>
  <si>
    <t xml:space="preserve">2.640.000 </t>
  </si>
  <si>
    <t xml:space="preserve">2.760.000 </t>
  </si>
  <si>
    <t>14 Basic</t>
  </si>
  <si>
    <t>All GM Allowed</t>
  </si>
  <si>
    <t xml:space="preserve">2.880.000 </t>
  </si>
  <si>
    <t xml:space="preserve">3.000.000 </t>
  </si>
  <si>
    <t xml:space="preserve">3.120.000 </t>
  </si>
  <si>
    <t>15 Basic</t>
  </si>
  <si>
    <t xml:space="preserve">3.240.000 </t>
  </si>
  <si>
    <t xml:space="preserve">3.360.000 </t>
  </si>
  <si>
    <t xml:space="preserve">3.480.000 </t>
  </si>
  <si>
    <t>4 Attacks</t>
  </si>
  <si>
    <t>16 Basic</t>
  </si>
  <si>
    <t>FT/RT</t>
  </si>
  <si>
    <t>RW</t>
  </si>
  <si>
    <t>BP</t>
  </si>
  <si>
    <t>DI</t>
  </si>
  <si>
    <t>1d6</t>
  </si>
  <si>
    <t>25/10’</t>
  </si>
  <si>
    <t>1250</t>
  </si>
  <si>
    <t>2d6</t>
  </si>
  <si>
    <t>50/10’</t>
  </si>
  <si>
    <t>2500</t>
  </si>
  <si>
    <t>3d6</t>
  </si>
  <si>
    <t>75/10’</t>
  </si>
  <si>
    <t>5000</t>
  </si>
  <si>
    <t>4d6</t>
  </si>
  <si>
    <t>25/15’</t>
  </si>
  <si>
    <t>10.000</t>
  </si>
  <si>
    <t>5d6</t>
  </si>
  <si>
    <t>39</t>
  </si>
  <si>
    <t>50/15’</t>
  </si>
  <si>
    <t>6d6</t>
  </si>
  <si>
    <t>37</t>
  </si>
  <si>
    <t>75/15’</t>
  </si>
  <si>
    <t>1 SK Allowed</t>
  </si>
  <si>
    <t>45.000</t>
  </si>
  <si>
    <t>7d6</t>
  </si>
  <si>
    <t>51</t>
  </si>
  <si>
    <t>43</t>
  </si>
  <si>
    <t>25/20’</t>
  </si>
  <si>
    <t>90.000</t>
  </si>
  <si>
    <t>8d6</t>
  </si>
  <si>
    <t>57</t>
  </si>
  <si>
    <t>49</t>
  </si>
  <si>
    <t>50/20’</t>
  </si>
  <si>
    <t>180.000</t>
  </si>
  <si>
    <t>9d6</t>
  </si>
  <si>
    <t>63</t>
  </si>
  <si>
    <t>75/20’</t>
  </si>
  <si>
    <t>25/25’</t>
  </si>
  <si>
    <t>50/25’</t>
  </si>
  <si>
    <t>540.000</t>
  </si>
  <si>
    <t>77</t>
  </si>
  <si>
    <t>75/25’</t>
  </si>
  <si>
    <t>1 EX Allowed</t>
  </si>
  <si>
    <t>680.000</t>
  </si>
  <si>
    <t>25/30’</t>
  </si>
  <si>
    <t>50/30’</t>
  </si>
  <si>
    <t>860.000</t>
  </si>
  <si>
    <t>75/30’</t>
  </si>
  <si>
    <t>25/35’</t>
  </si>
  <si>
    <t>1.140.000</t>
  </si>
  <si>
    <t>50/35’</t>
  </si>
  <si>
    <t>1.280.000</t>
  </si>
  <si>
    <t>75/35’</t>
  </si>
  <si>
    <t>1.420.000</t>
  </si>
  <si>
    <t>25/40’</t>
  </si>
  <si>
    <t>50/40’</t>
  </si>
  <si>
    <t>1.700.000</t>
  </si>
  <si>
    <t>75/40’</t>
  </si>
  <si>
    <t>1.840.000</t>
  </si>
  <si>
    <t>25/45’</t>
  </si>
  <si>
    <t xml:space="preserve">2.000.000 </t>
  </si>
  <si>
    <t>50/45’</t>
  </si>
  <si>
    <t>2.140.000</t>
  </si>
  <si>
    <t>75/45’</t>
  </si>
  <si>
    <t>1 MS Allowed</t>
  </si>
  <si>
    <t>25/50’</t>
  </si>
  <si>
    <t xml:space="preserve">2.420.000 </t>
  </si>
  <si>
    <t>50/50’</t>
  </si>
  <si>
    <t>75/50’</t>
  </si>
  <si>
    <t>2.700.000</t>
  </si>
  <si>
    <t>25/55’</t>
  </si>
  <si>
    <t xml:space="preserve">2.840.000 </t>
  </si>
  <si>
    <t>50/55’</t>
  </si>
  <si>
    <t>75/55’</t>
  </si>
  <si>
    <t>1 GM Allowed</t>
  </si>
  <si>
    <t>3.140.000</t>
  </si>
  <si>
    <t>200</t>
  </si>
  <si>
    <t>25/60’</t>
  </si>
  <si>
    <t>3.280.000</t>
  </si>
  <si>
    <t>205</t>
  </si>
  <si>
    <t>50/60’</t>
  </si>
  <si>
    <t xml:space="preserve">3.420.000 </t>
  </si>
  <si>
    <t>210</t>
  </si>
  <si>
    <t>75/60’</t>
  </si>
  <si>
    <t xml:space="preserve">3.560.000 </t>
  </si>
  <si>
    <t>215</t>
  </si>
  <si>
    <t>25/65’</t>
  </si>
  <si>
    <t xml:space="preserve">3.700.000 </t>
  </si>
  <si>
    <t>220</t>
  </si>
  <si>
    <t>50/65’</t>
  </si>
  <si>
    <t xml:space="preserve">3.840.000 </t>
  </si>
  <si>
    <t>225</t>
  </si>
  <si>
    <t>75/65’</t>
  </si>
  <si>
    <t>Spells (MU)</t>
  </si>
  <si>
    <t>special music</t>
  </si>
  <si>
    <t xml:space="preserve">Musical </t>
  </si>
  <si>
    <t>Weapon</t>
  </si>
  <si>
    <t>RL</t>
  </si>
  <si>
    <t xml:space="preserve"> ability (3rounds+)</t>
  </si>
  <si>
    <t>Instruments</t>
  </si>
  <si>
    <t>Mastery points</t>
  </si>
  <si>
    <t>1 BS Allowed</t>
  </si>
  <si>
    <t>Charm Person HD= 1/3 level</t>
  </si>
  <si>
    <t>71</t>
  </si>
  <si>
    <t>Charm Monster HD= 1/3 level</t>
  </si>
  <si>
    <t>Charm Plants HD= 1/3 level</t>
  </si>
  <si>
    <t xml:space="preserve">1.000.000 </t>
  </si>
  <si>
    <t>Sleep HD=1/3 level</t>
  </si>
  <si>
    <t>4  1 SK allowed</t>
  </si>
  <si>
    <t xml:space="preserve">Visual Illusion as moving illustrations to </t>
  </si>
  <si>
    <t>song/story by smoke/visions</t>
  </si>
  <si>
    <t>/watersurfaces etc.</t>
  </si>
  <si>
    <t>Smell/Taste/Hearing effect to illusion</t>
  </si>
  <si>
    <t>6 1XP allowed</t>
  </si>
  <si>
    <t xml:space="preserve">Touch effect to illusion, </t>
  </si>
  <si>
    <t>without affecting it</t>
  </si>
  <si>
    <t>Illusion has 10% to temporarily bring</t>
  </si>
  <si>
    <t>7 1 MS allowed</t>
  </si>
  <si>
    <t xml:space="preserve">listeners in the story where they can </t>
  </si>
  <si>
    <t>influence it if the Bards wants to</t>
  </si>
  <si>
    <t>Sp</t>
  </si>
  <si>
    <t>Skills</t>
  </si>
  <si>
    <t>4+1/int</t>
  </si>
  <si>
    <t>150.000</t>
  </si>
  <si>
    <t>300.000</t>
  </si>
  <si>
    <t>450.000</t>
  </si>
  <si>
    <t>750.000</t>
  </si>
  <si>
    <t>900.000</t>
  </si>
  <si>
    <t>1.050.000</t>
  </si>
  <si>
    <t>1.350.000</t>
  </si>
  <si>
    <t>1.500.000</t>
  </si>
  <si>
    <t>1.650.000</t>
  </si>
  <si>
    <t>1.950.000</t>
  </si>
  <si>
    <t>2.100.000</t>
  </si>
  <si>
    <t>2.250.000</t>
  </si>
  <si>
    <t>2.400.000</t>
  </si>
  <si>
    <t>2.550.000</t>
  </si>
  <si>
    <t>2.850.000</t>
  </si>
  <si>
    <t>3.000.000</t>
  </si>
  <si>
    <t>3.150.000</t>
  </si>
  <si>
    <t>3.300.000</t>
  </si>
  <si>
    <t>3.450.000</t>
  </si>
  <si>
    <t>3.600.000</t>
  </si>
  <si>
    <t>3.750.000</t>
  </si>
  <si>
    <t>3.900.000</t>
  </si>
  <si>
    <t>4.050.000</t>
  </si>
  <si>
    <t>4.200.000</t>
  </si>
  <si>
    <t>4.350.000</t>
  </si>
  <si>
    <t>9-10</t>
  </si>
  <si>
    <t>11-12</t>
  </si>
  <si>
    <t>13-14</t>
  </si>
  <si>
    <t>15-16</t>
  </si>
  <si>
    <t>22-36</t>
  </si>
  <si>
    <t>T</t>
  </si>
  <si>
    <t>1500</t>
  </si>
  <si>
    <t>+1d6</t>
  </si>
  <si>
    <t>3000</t>
  </si>
  <si>
    <t>6000</t>
  </si>
  <si>
    <t>12.000</t>
  </si>
  <si>
    <t>24.000</t>
  </si>
  <si>
    <t>50.000</t>
  </si>
  <si>
    <t>100.000</t>
  </si>
  <si>
    <t>200.000</t>
  </si>
  <si>
    <t>500.000</t>
  </si>
  <si>
    <t>700.000</t>
  </si>
  <si>
    <t>800.000</t>
  </si>
  <si>
    <t>1.100.000</t>
  </si>
  <si>
    <t>1.300.000</t>
  </si>
  <si>
    <t>1.400.000</t>
  </si>
  <si>
    <t>1.900.000</t>
  </si>
  <si>
    <t>2.000.000</t>
  </si>
  <si>
    <t>2.200.000</t>
  </si>
  <si>
    <t>2.300.000</t>
  </si>
  <si>
    <t>2.500.000</t>
  </si>
  <si>
    <t>2.600.000</t>
  </si>
  <si>
    <t>2.800.000</t>
  </si>
  <si>
    <t>2.900.000</t>
  </si>
  <si>
    <t>Cleric</t>
  </si>
  <si>
    <t>WM+2</t>
  </si>
  <si>
    <t xml:space="preserve">Rake </t>
  </si>
  <si>
    <t xml:space="preserve">Scout </t>
  </si>
  <si>
    <t>Mage</t>
  </si>
  <si>
    <t xml:space="preserve">Fighter </t>
  </si>
  <si>
    <t>Bard</t>
  </si>
  <si>
    <t>/ level (no Con. adj)</t>
  </si>
  <si>
    <t>AC</t>
  </si>
  <si>
    <t>Current Date AC</t>
  </si>
  <si>
    <t>Real Year Age</t>
  </si>
  <si>
    <t>Year AC</t>
  </si>
  <si>
    <t>Month</t>
  </si>
  <si>
    <t>Day</t>
  </si>
  <si>
    <t>Young Adult</t>
  </si>
  <si>
    <t>rolled total</t>
  </si>
  <si>
    <t>Roll</t>
  </si>
  <si>
    <t>Age</t>
  </si>
  <si>
    <t>Adjustment</t>
  </si>
  <si>
    <t>Current</t>
  </si>
  <si>
    <t>9/NM</t>
  </si>
  <si>
    <t>Turns</t>
  </si>
  <si>
    <t>Drink Skills</t>
  </si>
  <si>
    <t>DL</t>
  </si>
  <si>
    <t>Natural</t>
  </si>
  <si>
    <t>LBS</t>
  </si>
  <si>
    <t>Str check/r</t>
  </si>
  <si>
    <t>ft/r</t>
  </si>
  <si>
    <t>Encumbrance Adjustment</t>
  </si>
  <si>
    <t>Feet</t>
  </si>
  <si>
    <t>cn</t>
  </si>
  <si>
    <t>Basic Piety</t>
  </si>
  <si>
    <t>+adjustments!!</t>
  </si>
  <si>
    <t>Roll each Trait:</t>
  </si>
  <si>
    <t>Limit magic without Magic Poisoning effects</t>
  </si>
  <si>
    <t xml:space="preserve">Active Spells </t>
  </si>
  <si>
    <t>m</t>
  </si>
  <si>
    <t>Overload</t>
  </si>
  <si>
    <t>Total Enc.</t>
  </si>
  <si>
    <t>% chance</t>
  </si>
  <si>
    <t>Adjustments</t>
  </si>
  <si>
    <t>Rolled</t>
  </si>
  <si>
    <t>Active Magic items</t>
  </si>
  <si>
    <t>Front</t>
  </si>
  <si>
    <t>Back</t>
  </si>
  <si>
    <t xml:space="preserve">vs. </t>
  </si>
  <si>
    <t>P/S</t>
  </si>
  <si>
    <t>Sub-Skills</t>
  </si>
  <si>
    <t>+</t>
  </si>
  <si>
    <t>Special+</t>
  </si>
  <si>
    <t>vs.</t>
  </si>
  <si>
    <t>amethyst</t>
  </si>
  <si>
    <t>Maximum duration before Fatigue</t>
  </si>
  <si>
    <t>Natural Healing Rates</t>
  </si>
  <si>
    <t># Chances</t>
  </si>
  <si>
    <t>1d4+</t>
  </si>
  <si>
    <t>Fail =Damage;</t>
  </si>
  <si>
    <t>Speed</t>
  </si>
  <si>
    <r>
      <t xml:space="preserve">Daily moves in miles/day (8hr day max.) </t>
    </r>
    <r>
      <rPr>
        <b/>
        <sz val="8"/>
        <color indexed="17"/>
        <rFont val="Arial"/>
        <family val="2"/>
      </rPr>
      <t>and 1 mile in time</t>
    </r>
  </si>
  <si>
    <t>Encumbrance</t>
  </si>
  <si>
    <t>Hours</t>
  </si>
  <si>
    <t>Rounds</t>
  </si>
  <si>
    <t>Base THAC0 by LVL/HD</t>
  </si>
  <si>
    <t>Adjusted Melee THAC0</t>
  </si>
  <si>
    <t>Adjusted Missile THAC0</t>
  </si>
  <si>
    <t>First;</t>
  </si>
  <si>
    <t>Second;</t>
  </si>
  <si>
    <t>Enter all Data On the Record Sheet in the White Fields as according to the rules in "Character Creation"</t>
  </si>
  <si>
    <t>XP Gained</t>
  </si>
  <si>
    <t>Normal Round</t>
  </si>
  <si>
    <t xml:space="preserve">Natural </t>
  </si>
  <si>
    <t>Chain Mail</t>
  </si>
  <si>
    <t>Smell (WI)</t>
  </si>
  <si>
    <t>vs:</t>
  </si>
  <si>
    <t>Special:</t>
  </si>
  <si>
    <t>Name/Type weapon</t>
  </si>
  <si>
    <t>Monster Type</t>
  </si>
  <si>
    <t>x</t>
  </si>
  <si>
    <t>Enter here a "M" if it is a missile weapon</t>
  </si>
  <si>
    <t>Enter here the basic Magical adjustment</t>
  </si>
  <si>
    <t>+/- 2</t>
  </si>
  <si>
    <t>+/- 1</t>
  </si>
  <si>
    <t>Enter here the Magical adjustment vs. the monster type</t>
  </si>
  <si>
    <t>Enter here the name or Type of the weapon</t>
  </si>
  <si>
    <t xml:space="preserve">Enter here what monster the weapon is </t>
  </si>
  <si>
    <t>Don't enter if none is available</t>
  </si>
  <si>
    <t>Under WM</t>
  </si>
  <si>
    <t>UN=Unskilled</t>
  </si>
  <si>
    <t>BS=Basic</t>
  </si>
  <si>
    <t>SK=Skilled</t>
  </si>
  <si>
    <t>XP=Expert</t>
  </si>
  <si>
    <t>MS=Master</t>
  </si>
  <si>
    <t>GM=Grand Master</t>
  </si>
  <si>
    <t>Enter here your Weapon Mastery with the weapon with the following codes</t>
  </si>
  <si>
    <t>Under 1+/0/-1</t>
  </si>
  <si>
    <t>Enter here the three ranges of the weapon if used as a missile weapon</t>
  </si>
  <si>
    <t>Under Base</t>
  </si>
  <si>
    <t>Enter here the basic damage done with the weapon in the first attack</t>
  </si>
  <si>
    <t>and the second attack</t>
  </si>
  <si>
    <t>(always end with a +; Example 1d6+)</t>
  </si>
  <si>
    <t>Current Total Piety</t>
  </si>
  <si>
    <t>Gained Piety</t>
  </si>
  <si>
    <t>Third;</t>
  </si>
  <si>
    <t>Enter all weapons in the Weapon table on the orange fields only.</t>
  </si>
  <si>
    <t>Enter All armor information in the Armor Table on the Light-green fields only</t>
  </si>
  <si>
    <t>don't enter if none is available</t>
  </si>
  <si>
    <t>Use the cursor arrows to move sideways were needed</t>
  </si>
  <si>
    <t>Enter the Character Building Information First</t>
  </si>
  <si>
    <t>DO NOT ENTER ANYTHING ON COLORED FIELDS (if done accidently, use the Undo button  or restart)</t>
  </si>
  <si>
    <t>Roll the Traits as given and then add any adjustments by class, religion, country, or personal history</t>
  </si>
  <si>
    <t>Profession/Craft</t>
  </si>
  <si>
    <t>Additional entries are allowed were given as by level</t>
  </si>
  <si>
    <t>Don't forget to roll for your character's natural death as per Character creation Rules</t>
  </si>
  <si>
    <t>Enter here the magical items that effect your AC</t>
  </si>
  <si>
    <t>Enter here the the amount of effect the item gives behind the line</t>
  </si>
  <si>
    <t>Enter here the sort of Shield you use</t>
  </si>
  <si>
    <t>You can Choose between;</t>
  </si>
  <si>
    <t>Buckler</t>
  </si>
  <si>
    <t>Small</t>
  </si>
  <si>
    <t>Normal</t>
  </si>
  <si>
    <t>Large</t>
  </si>
  <si>
    <t>Tower</t>
  </si>
  <si>
    <t>Fourt;</t>
  </si>
  <si>
    <t>Then Roll and enter your Hit Points as given</t>
  </si>
  <si>
    <t>Then enter the amount of Spells you have per level according to your character's current level</t>
  </si>
  <si>
    <t>Then enter the Turning Undead data you have per level according to your character's current level if your character has this clerical skill.</t>
  </si>
  <si>
    <t>Enter all combat information including despair, lance attack, set spear vs charge, second attack and other weapon mastery information</t>
  </si>
  <si>
    <t>Enter all other information in the White fields only</t>
  </si>
  <si>
    <t>Enter Thief Abilities when of a thief class</t>
  </si>
  <si>
    <t>Hill/Mud</t>
  </si>
  <si>
    <t>Mountain Trail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</si>
</sst>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24">
    <font>
      <sz val="10"/>
      <name val="Arial"/>
      <family val="0"/>
    </font>
    <font>
      <b/>
      <sz val="8"/>
      <name val="Arial"/>
      <family val="2"/>
    </font>
    <font>
      <b/>
      <sz val="20"/>
      <name val="Amazone BT"/>
      <family val="4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color indexed="9"/>
      <name val="Arial"/>
      <family val="2"/>
    </font>
    <font>
      <b/>
      <sz val="6"/>
      <color indexed="10"/>
      <name val="Arial"/>
      <family val="2"/>
    </font>
    <font>
      <b/>
      <sz val="6"/>
      <color indexed="9"/>
      <name val="Arial"/>
      <family val="2"/>
    </font>
    <font>
      <b/>
      <sz val="6"/>
      <color indexed="57"/>
      <name val="Arial"/>
      <family val="2"/>
    </font>
    <font>
      <b/>
      <sz val="8"/>
      <color indexed="45"/>
      <name val="Arial"/>
      <family val="2"/>
    </font>
    <font>
      <b/>
      <sz val="8"/>
      <color indexed="12"/>
      <name val="Arial"/>
      <family val="2"/>
    </font>
    <font>
      <b/>
      <sz val="6"/>
      <color indexed="12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b/>
      <sz val="8"/>
      <color indexed="17"/>
      <name val="Arial"/>
      <family val="2"/>
    </font>
    <font>
      <b/>
      <sz val="6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3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2" borderId="11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2" borderId="5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2" borderId="26" xfId="0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0" fontId="1" fillId="2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2" borderId="3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2" borderId="41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9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9" borderId="5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10" borderId="9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8" borderId="15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/>
    </xf>
    <xf numFmtId="0" fontId="1" fillId="12" borderId="16" xfId="0" applyFont="1" applyFill="1" applyBorder="1" applyAlignment="1">
      <alignment/>
    </xf>
    <xf numFmtId="0" fontId="1" fillId="12" borderId="2" xfId="0" applyFont="1" applyFill="1" applyBorder="1" applyAlignment="1">
      <alignment/>
    </xf>
    <xf numFmtId="0" fontId="1" fillId="12" borderId="15" xfId="0" applyFont="1" applyFill="1" applyBorder="1" applyAlignment="1">
      <alignment/>
    </xf>
    <xf numFmtId="0" fontId="1" fillId="12" borderId="7" xfId="0" applyFont="1" applyFill="1" applyBorder="1" applyAlignment="1">
      <alignment/>
    </xf>
    <xf numFmtId="0" fontId="1" fillId="12" borderId="5" xfId="0" applyFont="1" applyFill="1" applyBorder="1" applyAlignment="1">
      <alignment/>
    </xf>
    <xf numFmtId="0" fontId="1" fillId="12" borderId="0" xfId="0" applyFont="1" applyFill="1" applyBorder="1" applyAlignment="1">
      <alignment/>
    </xf>
    <xf numFmtId="0" fontId="1" fillId="12" borderId="43" xfId="0" applyFont="1" applyFill="1" applyBorder="1" applyAlignment="1">
      <alignment/>
    </xf>
    <xf numFmtId="0" fontId="1" fillId="12" borderId="9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1" fillId="12" borderId="11" xfId="0" applyFont="1" applyFill="1" applyBorder="1" applyAlignment="1">
      <alignment/>
    </xf>
    <xf numFmtId="0" fontId="1" fillId="12" borderId="44" xfId="0" applyFont="1" applyFill="1" applyBorder="1" applyAlignment="1">
      <alignment/>
    </xf>
    <xf numFmtId="0" fontId="1" fillId="8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/>
    </xf>
    <xf numFmtId="0" fontId="1" fillId="5" borderId="43" xfId="0" applyFont="1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5" borderId="45" xfId="0" applyFont="1" applyFill="1" applyBorder="1" applyAlignment="1">
      <alignment/>
    </xf>
    <xf numFmtId="0" fontId="1" fillId="5" borderId="46" xfId="0" applyFont="1" applyFill="1" applyBorder="1" applyAlignment="1">
      <alignment/>
    </xf>
    <xf numFmtId="0" fontId="1" fillId="14" borderId="2" xfId="0" applyFont="1" applyFill="1" applyBorder="1" applyAlignment="1">
      <alignment/>
    </xf>
    <xf numFmtId="0" fontId="1" fillId="14" borderId="4" xfId="0" applyFont="1" applyFill="1" applyBorder="1" applyAlignment="1">
      <alignment/>
    </xf>
    <xf numFmtId="0" fontId="1" fillId="14" borderId="11" xfId="0" applyFont="1" applyFill="1" applyBorder="1" applyAlignment="1">
      <alignment/>
    </xf>
    <xf numFmtId="0" fontId="1" fillId="14" borderId="0" xfId="0" applyFont="1" applyFill="1" applyBorder="1" applyAlignment="1">
      <alignment/>
    </xf>
    <xf numFmtId="0" fontId="1" fillId="14" borderId="13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12" borderId="30" xfId="0" applyFont="1" applyFill="1" applyBorder="1" applyAlignment="1">
      <alignment/>
    </xf>
    <xf numFmtId="0" fontId="1" fillId="12" borderId="47" xfId="0" applyFont="1" applyFill="1" applyBorder="1" applyAlignment="1">
      <alignment/>
    </xf>
    <xf numFmtId="0" fontId="1" fillId="15" borderId="7" xfId="0" applyFont="1" applyFill="1" applyBorder="1" applyAlignment="1">
      <alignment/>
    </xf>
    <xf numFmtId="0" fontId="1" fillId="15" borderId="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48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9" fontId="1" fillId="12" borderId="9" xfId="0" applyNumberFormat="1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/>
    </xf>
    <xf numFmtId="0" fontId="1" fillId="16" borderId="1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5" borderId="43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5" borderId="31" xfId="0" applyFont="1" applyFill="1" applyBorder="1" applyAlignment="1">
      <alignment/>
    </xf>
    <xf numFmtId="0" fontId="1" fillId="8" borderId="19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12" borderId="55" xfId="0" applyFont="1" applyFill="1" applyBorder="1" applyAlignment="1">
      <alignment/>
    </xf>
    <xf numFmtId="0" fontId="1" fillId="14" borderId="55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1" fontId="1" fillId="12" borderId="56" xfId="0" applyNumberFormat="1" applyFont="1" applyFill="1" applyBorder="1" applyAlignment="1">
      <alignment/>
    </xf>
    <xf numFmtId="1" fontId="1" fillId="12" borderId="7" xfId="0" applyNumberFormat="1" applyFont="1" applyFill="1" applyBorder="1" applyAlignment="1">
      <alignment/>
    </xf>
    <xf numFmtId="1" fontId="1" fillId="12" borderId="25" xfId="0" applyNumberFormat="1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11" borderId="11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49" fontId="1" fillId="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14" borderId="3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12" borderId="52" xfId="0" applyFont="1" applyFill="1" applyBorder="1" applyAlignment="1">
      <alignment horizontal="center"/>
    </xf>
    <xf numFmtId="0" fontId="1" fillId="12" borderId="58" xfId="0" applyFont="1" applyFill="1" applyBorder="1" applyAlignment="1">
      <alignment horizontal="center"/>
    </xf>
    <xf numFmtId="0" fontId="1" fillId="12" borderId="5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14" borderId="27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8" borderId="29" xfId="0" applyFont="1" applyFill="1" applyBorder="1" applyAlignment="1">
      <alignment/>
    </xf>
    <xf numFmtId="0" fontId="1" fillId="2" borderId="59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" fillId="12" borderId="13" xfId="0" applyFont="1" applyFill="1" applyBorder="1" applyAlignment="1">
      <alignment/>
    </xf>
    <xf numFmtId="1" fontId="1" fillId="13" borderId="9" xfId="0" applyNumberFormat="1" applyFont="1" applyFill="1" applyBorder="1" applyAlignment="1">
      <alignment horizontal="center"/>
    </xf>
    <xf numFmtId="1" fontId="1" fillId="13" borderId="54" xfId="0" applyNumberFormat="1" applyFont="1" applyFill="1" applyBorder="1" applyAlignment="1">
      <alignment horizontal="center"/>
    </xf>
    <xf numFmtId="1" fontId="1" fillId="13" borderId="51" xfId="0" applyNumberFormat="1" applyFont="1" applyFill="1" applyBorder="1" applyAlignment="1">
      <alignment horizontal="center"/>
    </xf>
    <xf numFmtId="1" fontId="1" fillId="13" borderId="13" xfId="0" applyNumberFormat="1" applyFont="1" applyFill="1" applyBorder="1" applyAlignment="1">
      <alignment horizontal="center"/>
    </xf>
    <xf numFmtId="1" fontId="1" fillId="13" borderId="60" xfId="0" applyNumberFormat="1" applyFont="1" applyFill="1" applyBorder="1" applyAlignment="1">
      <alignment horizontal="center"/>
    </xf>
    <xf numFmtId="1" fontId="1" fillId="13" borderId="4" xfId="0" applyNumberFormat="1" applyFont="1" applyFill="1" applyBorder="1" applyAlignment="1">
      <alignment horizontal="center"/>
    </xf>
    <xf numFmtId="1" fontId="1" fillId="13" borderId="61" xfId="0" applyNumberFormat="1" applyFont="1" applyFill="1" applyBorder="1" applyAlignment="1">
      <alignment horizontal="center"/>
    </xf>
    <xf numFmtId="1" fontId="1" fillId="13" borderId="12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8" borderId="49" xfId="0" applyFont="1" applyFill="1" applyBorder="1" applyAlignment="1">
      <alignment/>
    </xf>
    <xf numFmtId="0" fontId="8" fillId="10" borderId="0" xfId="0" applyFont="1" applyFill="1" applyBorder="1" applyAlignment="1">
      <alignment/>
    </xf>
    <xf numFmtId="0" fontId="8" fillId="10" borderId="11" xfId="0" applyFont="1" applyFill="1" applyBorder="1" applyAlignment="1">
      <alignment/>
    </xf>
    <xf numFmtId="49" fontId="1" fillId="7" borderId="7" xfId="0" applyNumberFormat="1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1" fillId="17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" fillId="7" borderId="9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" fillId="7" borderId="9" xfId="0" applyNumberFormat="1" applyFont="1" applyFill="1" applyBorder="1" applyAlignment="1">
      <alignment horizontal="center"/>
    </xf>
    <xf numFmtId="0" fontId="1" fillId="7" borderId="42" xfId="0" applyNumberFormat="1" applyFont="1" applyFill="1" applyBorder="1" applyAlignment="1">
      <alignment horizontal="center"/>
    </xf>
    <xf numFmtId="0" fontId="11" fillId="9" borderId="13" xfId="0" applyFont="1" applyFill="1" applyBorder="1" applyAlignment="1">
      <alignment/>
    </xf>
    <xf numFmtId="0" fontId="11" fillId="18" borderId="31" xfId="0" applyFont="1" applyFill="1" applyBorder="1" applyAlignment="1">
      <alignment horizontal="center"/>
    </xf>
    <xf numFmtId="0" fontId="11" fillId="18" borderId="27" xfId="0" applyFont="1" applyFill="1" applyBorder="1" applyAlignment="1">
      <alignment horizontal="center"/>
    </xf>
    <xf numFmtId="0" fontId="11" fillId="18" borderId="55" xfId="0" applyFont="1" applyFill="1" applyBorder="1" applyAlignment="1">
      <alignment horizontal="center"/>
    </xf>
    <xf numFmtId="0" fontId="1" fillId="11" borderId="31" xfId="0" applyFont="1" applyFill="1" applyBorder="1" applyAlignment="1" quotePrefix="1">
      <alignment/>
    </xf>
    <xf numFmtId="0" fontId="4" fillId="8" borderId="5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8" borderId="62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4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8" borderId="3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14" borderId="14" xfId="0" applyFont="1" applyFill="1" applyBorder="1" applyAlignment="1">
      <alignment/>
    </xf>
    <xf numFmtId="0" fontId="1" fillId="19" borderId="1" xfId="0" applyFont="1" applyFill="1" applyBorder="1" applyAlignment="1">
      <alignment/>
    </xf>
    <xf numFmtId="0" fontId="1" fillId="19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16" borderId="0" xfId="0" applyFont="1" applyFill="1" applyBorder="1" applyAlignment="1">
      <alignment/>
    </xf>
    <xf numFmtId="0" fontId="1" fillId="16" borderId="3" xfId="0" applyFont="1" applyFill="1" applyBorder="1" applyAlignment="1">
      <alignment/>
    </xf>
    <xf numFmtId="0" fontId="1" fillId="16" borderId="14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1" fillId="5" borderId="48" xfId="0" applyNumberFormat="1" applyFont="1" applyFill="1" applyBorder="1" applyAlignment="1">
      <alignment horizontal="center"/>
    </xf>
    <xf numFmtId="0" fontId="1" fillId="5" borderId="52" xfId="0" applyNumberFormat="1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5" fillId="5" borderId="15" xfId="0" applyNumberFormat="1" applyFont="1" applyFill="1" applyBorder="1" applyAlignment="1">
      <alignment horizontal="center"/>
    </xf>
    <xf numFmtId="0" fontId="15" fillId="5" borderId="10" xfId="0" applyNumberFormat="1" applyFont="1" applyFill="1" applyBorder="1" applyAlignment="1">
      <alignment horizontal="center"/>
    </xf>
    <xf numFmtId="0" fontId="15" fillId="5" borderId="16" xfId="0" applyNumberFormat="1" applyFont="1" applyFill="1" applyBorder="1" applyAlignment="1">
      <alignment horizontal="center"/>
    </xf>
    <xf numFmtId="0" fontId="1" fillId="5" borderId="58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1" fillId="5" borderId="26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4" fillId="2" borderId="14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left"/>
    </xf>
    <xf numFmtId="0" fontId="4" fillId="2" borderId="55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right"/>
    </xf>
    <xf numFmtId="0" fontId="1" fillId="10" borderId="12" xfId="0" applyFont="1" applyFill="1" applyBorder="1" applyAlignment="1">
      <alignment horizontal="center"/>
    </xf>
    <xf numFmtId="0" fontId="1" fillId="11" borderId="64" xfId="0" applyFont="1" applyFill="1" applyBorder="1" applyAlignment="1">
      <alignment horizontal="center"/>
    </xf>
    <xf numFmtId="0" fontId="4" fillId="19" borderId="3" xfId="0" applyFont="1" applyFill="1" applyBorder="1" applyAlignment="1">
      <alignment/>
    </xf>
    <xf numFmtId="0" fontId="4" fillId="19" borderId="3" xfId="0" applyFont="1" applyFill="1" applyBorder="1" applyAlignment="1">
      <alignment horizontal="right"/>
    </xf>
    <xf numFmtId="0" fontId="1" fillId="19" borderId="14" xfId="0" applyFont="1" applyFill="1" applyBorder="1" applyAlignment="1">
      <alignment horizontal="center"/>
    </xf>
    <xf numFmtId="0" fontId="3" fillId="19" borderId="1" xfId="0" applyFont="1" applyFill="1" applyBorder="1" applyAlignment="1">
      <alignment/>
    </xf>
    <xf numFmtId="0" fontId="1" fillId="19" borderId="13" xfId="0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" fontId="1" fillId="13" borderId="7" xfId="0" applyNumberFormat="1" applyFont="1" applyFill="1" applyBorder="1" applyAlignment="1">
      <alignment horizontal="center"/>
    </xf>
    <xf numFmtId="1" fontId="1" fillId="13" borderId="0" xfId="0" applyNumberFormat="1" applyFont="1" applyFill="1" applyBorder="1" applyAlignment="1">
      <alignment horizontal="center"/>
    </xf>
    <xf numFmtId="0" fontId="3" fillId="19" borderId="3" xfId="0" applyFont="1" applyFill="1" applyBorder="1" applyAlignment="1">
      <alignment/>
    </xf>
    <xf numFmtId="0" fontId="3" fillId="19" borderId="14" xfId="0" applyFont="1" applyFill="1" applyBorder="1" applyAlignment="1">
      <alignment/>
    </xf>
    <xf numFmtId="0" fontId="1" fillId="11" borderId="9" xfId="0" applyFont="1" applyFill="1" applyBorder="1" applyAlignment="1">
      <alignment horizontal="center"/>
    </xf>
    <xf numFmtId="0" fontId="1" fillId="2" borderId="65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19" borderId="5" xfId="0" applyFont="1" applyFill="1" applyBorder="1" applyAlignment="1">
      <alignment/>
    </xf>
    <xf numFmtId="0" fontId="17" fillId="2" borderId="55" xfId="0" applyFont="1" applyFill="1" applyBorder="1" applyAlignment="1">
      <alignment horizontal="left"/>
    </xf>
    <xf numFmtId="0" fontId="16" fillId="2" borderId="6" xfId="0" applyFont="1" applyFill="1" applyBorder="1" applyAlignment="1">
      <alignment/>
    </xf>
    <xf numFmtId="0" fontId="17" fillId="2" borderId="6" xfId="0" applyFont="1" applyFill="1" applyBorder="1" applyAlignment="1">
      <alignment horizontal="right"/>
    </xf>
    <xf numFmtId="0" fontId="1" fillId="5" borderId="42" xfId="0" applyNumberFormat="1" applyFont="1" applyFill="1" applyBorder="1" applyAlignment="1">
      <alignment horizontal="center"/>
    </xf>
    <xf numFmtId="0" fontId="3" fillId="19" borderId="3" xfId="0" applyFont="1" applyFill="1" applyBorder="1" applyAlignment="1">
      <alignment horizontal="right"/>
    </xf>
    <xf numFmtId="9" fontId="1" fillId="19" borderId="4" xfId="0" applyNumberFormat="1" applyFont="1" applyFill="1" applyBorder="1" applyAlignment="1">
      <alignment horizontal="center"/>
    </xf>
    <xf numFmtId="0" fontId="17" fillId="2" borderId="11" xfId="0" applyFont="1" applyFill="1" applyBorder="1" applyAlignment="1">
      <alignment/>
    </xf>
    <xf numFmtId="0" fontId="18" fillId="2" borderId="1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16" fillId="2" borderId="63" xfId="0" applyFont="1" applyFill="1" applyBorder="1" applyAlignment="1">
      <alignment horizontal="center"/>
    </xf>
    <xf numFmtId="0" fontId="19" fillId="2" borderId="53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/>
    </xf>
    <xf numFmtId="1" fontId="17" fillId="8" borderId="53" xfId="0" applyNumberFormat="1" applyFont="1" applyFill="1" applyBorder="1" applyAlignment="1">
      <alignment horizontal="center"/>
    </xf>
    <xf numFmtId="0" fontId="1" fillId="19" borderId="14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0" fontId="1" fillId="19" borderId="55" xfId="0" applyFont="1" applyFill="1" applyBorder="1" applyAlignment="1">
      <alignment horizontal="center"/>
    </xf>
    <xf numFmtId="0" fontId="16" fillId="19" borderId="5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0" fillId="2" borderId="41" xfId="0" applyFont="1" applyFill="1" applyBorder="1" applyAlignment="1">
      <alignment/>
    </xf>
    <xf numFmtId="0" fontId="20" fillId="2" borderId="32" xfId="0" applyFont="1" applyFill="1" applyBorder="1" applyAlignment="1">
      <alignment/>
    </xf>
    <xf numFmtId="0" fontId="20" fillId="2" borderId="38" xfId="0" applyFont="1" applyFill="1" applyBorder="1" applyAlignment="1">
      <alignment/>
    </xf>
    <xf numFmtId="0" fontId="1" fillId="19" borderId="17" xfId="0" applyFont="1" applyFill="1" applyBorder="1" applyAlignment="1">
      <alignment horizontal="left"/>
    </xf>
    <xf numFmtId="0" fontId="1" fillId="19" borderId="19" xfId="0" applyFont="1" applyFill="1" applyBorder="1" applyAlignment="1">
      <alignment/>
    </xf>
    <xf numFmtId="0" fontId="1" fillId="19" borderId="20" xfId="0" applyFont="1" applyFill="1" applyBorder="1" applyAlignment="1">
      <alignment/>
    </xf>
    <xf numFmtId="0" fontId="1" fillId="19" borderId="3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" fillId="12" borderId="6" xfId="0" applyNumberFormat="1" applyFont="1" applyFill="1" applyBorder="1" applyAlignment="1">
      <alignment/>
    </xf>
    <xf numFmtId="0" fontId="1" fillId="20" borderId="59" xfId="0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5" fillId="14" borderId="5" xfId="0" applyNumberFormat="1" applyFont="1" applyFill="1" applyBorder="1" applyAlignment="1">
      <alignment horizontal="center"/>
    </xf>
    <xf numFmtId="0" fontId="5" fillId="14" borderId="15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/>
    </xf>
    <xf numFmtId="0" fontId="3" fillId="14" borderId="10" xfId="0" applyNumberFormat="1" applyFont="1" applyFill="1" applyBorder="1" applyAlignment="1">
      <alignment horizontal="center"/>
    </xf>
    <xf numFmtId="0" fontId="5" fillId="14" borderId="51" xfId="0" applyNumberFormat="1" applyFont="1" applyFill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62" xfId="0" applyNumberFormat="1" applyFont="1" applyBorder="1" applyAlignment="1">
      <alignment horizontal="center"/>
    </xf>
    <xf numFmtId="0" fontId="5" fillId="14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14" borderId="27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27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14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14" borderId="62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62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14" borderId="54" xfId="0" applyNumberFormat="1" applyFont="1" applyFill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66" xfId="0" applyNumberFormat="1" applyFont="1" applyBorder="1" applyAlignment="1">
      <alignment horizontal="center"/>
    </xf>
    <xf numFmtId="0" fontId="5" fillId="14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14" borderId="6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/>
    </xf>
    <xf numFmtId="0" fontId="5" fillId="14" borderId="7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/>
    </xf>
    <xf numFmtId="0" fontId="5" fillId="0" borderId="13" xfId="0" applyNumberFormat="1" applyFont="1" applyBorder="1" applyAlignment="1">
      <alignment horizontal="right"/>
    </xf>
    <xf numFmtId="0" fontId="5" fillId="14" borderId="55" xfId="0" applyNumberFormat="1" applyFont="1" applyFill="1" applyBorder="1" applyAlignment="1">
      <alignment horizontal="center"/>
    </xf>
    <xf numFmtId="0" fontId="5" fillId="0" borderId="55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55" xfId="0" applyNumberFormat="1" applyFont="1" applyBorder="1" applyAlignment="1">
      <alignment horizontal="center"/>
    </xf>
    <xf numFmtId="0" fontId="5" fillId="14" borderId="12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67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14" borderId="11" xfId="0" applyNumberFormat="1" applyFont="1" applyFill="1" applyBorder="1" applyAlignment="1">
      <alignment horizontal="center"/>
    </xf>
    <xf numFmtId="0" fontId="5" fillId="14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5" fillId="14" borderId="2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68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right"/>
    </xf>
    <xf numFmtId="0" fontId="5" fillId="2" borderId="5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14" borderId="17" xfId="0" applyNumberFormat="1" applyFont="1" applyFill="1" applyBorder="1" applyAlignment="1">
      <alignment horizontal="left"/>
    </xf>
    <xf numFmtId="0" fontId="5" fillId="2" borderId="29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left"/>
    </xf>
    <xf numFmtId="0" fontId="5" fillId="2" borderId="19" xfId="0" applyNumberFormat="1" applyFont="1" applyFill="1" applyBorder="1" applyAlignment="1">
      <alignment horizontal="center"/>
    </xf>
    <xf numFmtId="0" fontId="3" fillId="14" borderId="27" xfId="0" applyNumberFormat="1" applyFont="1" applyFill="1" applyBorder="1" applyAlignment="1">
      <alignment horizontal="center"/>
    </xf>
    <xf numFmtId="0" fontId="3" fillId="19" borderId="31" xfId="0" applyNumberFormat="1" applyFont="1" applyFill="1" applyBorder="1" applyAlignment="1">
      <alignment horizontal="center"/>
    </xf>
    <xf numFmtId="0" fontId="3" fillId="19" borderId="20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3" fillId="14" borderId="68" xfId="0" applyNumberFormat="1" applyFont="1" applyFill="1" applyBorder="1" applyAlignment="1">
      <alignment horizontal="center" vertical="top" wrapText="1"/>
    </xf>
    <xf numFmtId="0" fontId="3" fillId="2" borderId="27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5" fillId="2" borderId="31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/>
    </xf>
    <xf numFmtId="0" fontId="3" fillId="14" borderId="27" xfId="0" applyNumberFormat="1" applyFont="1" applyFill="1" applyBorder="1" applyAlignment="1">
      <alignment horizontal="left"/>
    </xf>
    <xf numFmtId="0" fontId="3" fillId="2" borderId="27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horizontal="left"/>
    </xf>
    <xf numFmtId="0" fontId="9" fillId="19" borderId="31" xfId="0" applyNumberFormat="1" applyFont="1" applyFill="1" applyBorder="1" applyAlignment="1">
      <alignment horizontal="left"/>
    </xf>
    <xf numFmtId="0" fontId="9" fillId="19" borderId="2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left"/>
    </xf>
    <xf numFmtId="0" fontId="9" fillId="2" borderId="14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3" fillId="14" borderId="67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5" fillId="14" borderId="31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3" fillId="14" borderId="3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14" borderId="55" xfId="0" applyNumberFormat="1" applyFont="1" applyFill="1" applyBorder="1" applyAlignment="1">
      <alignment horizontal="center" vertical="top" wrapText="1"/>
    </xf>
    <xf numFmtId="0" fontId="3" fillId="2" borderId="55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/>
    </xf>
    <xf numFmtId="0" fontId="3" fillId="2" borderId="17" xfId="0" applyNumberFormat="1" applyFont="1" applyFill="1" applyBorder="1" applyAlignment="1">
      <alignment horizontal="center"/>
    </xf>
    <xf numFmtId="0" fontId="3" fillId="14" borderId="19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3" fillId="2" borderId="55" xfId="0" applyNumberFormat="1" applyFont="1" applyFill="1" applyBorder="1" applyAlignment="1">
      <alignment horizontal="center"/>
    </xf>
    <xf numFmtId="0" fontId="3" fillId="14" borderId="3" xfId="0" applyNumberFormat="1" applyFont="1" applyFill="1" applyBorder="1" applyAlignment="1">
      <alignment/>
    </xf>
    <xf numFmtId="0" fontId="5" fillId="14" borderId="3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21" borderId="69" xfId="0" applyFont="1" applyFill="1" applyBorder="1" applyAlignment="1">
      <alignment horizontal="center"/>
    </xf>
    <xf numFmtId="0" fontId="1" fillId="21" borderId="70" xfId="0" applyFont="1" applyFill="1" applyBorder="1" applyAlignment="1">
      <alignment horizontal="center"/>
    </xf>
    <xf numFmtId="0" fontId="1" fillId="21" borderId="29" xfId="0" applyFont="1" applyFill="1" applyBorder="1" applyAlignment="1">
      <alignment horizontal="center"/>
    </xf>
    <xf numFmtId="20" fontId="1" fillId="21" borderId="54" xfId="0" applyNumberFormat="1" applyFont="1" applyFill="1" applyBorder="1" applyAlignment="1">
      <alignment horizontal="center"/>
    </xf>
    <xf numFmtId="0" fontId="1" fillId="21" borderId="71" xfId="0" applyFont="1" applyFill="1" applyBorder="1" applyAlignment="1">
      <alignment horizontal="center"/>
    </xf>
    <xf numFmtId="0" fontId="1" fillId="21" borderId="7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9" xfId="0" applyFont="1" applyFill="1" applyBorder="1" applyAlignment="1">
      <alignment/>
    </xf>
    <xf numFmtId="0" fontId="1" fillId="21" borderId="13" xfId="0" applyFont="1" applyFill="1" applyBorder="1" applyAlignment="1">
      <alignment/>
    </xf>
    <xf numFmtId="0" fontId="1" fillId="21" borderId="20" xfId="0" applyFont="1" applyFill="1" applyBorder="1" applyAlignment="1">
      <alignment/>
    </xf>
    <xf numFmtId="0" fontId="1" fillId="21" borderId="19" xfId="0" applyFont="1" applyFill="1" applyBorder="1" applyAlignment="1">
      <alignment/>
    </xf>
    <xf numFmtId="0" fontId="1" fillId="21" borderId="2" xfId="0" applyFont="1" applyFill="1" applyBorder="1" applyAlignment="1">
      <alignment/>
    </xf>
    <xf numFmtId="0" fontId="1" fillId="21" borderId="15" xfId="0" applyFont="1" applyFill="1" applyBorder="1" applyAlignment="1">
      <alignment/>
    </xf>
    <xf numFmtId="0" fontId="1" fillId="21" borderId="6" xfId="0" applyFont="1" applyFill="1" applyBorder="1" applyAlignment="1">
      <alignment/>
    </xf>
    <xf numFmtId="0" fontId="1" fillId="21" borderId="26" xfId="0" applyFont="1" applyFill="1" applyBorder="1" applyAlignment="1">
      <alignment/>
    </xf>
    <xf numFmtId="0" fontId="1" fillId="21" borderId="8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1" fillId="21" borderId="5" xfId="0" applyFont="1" applyFill="1" applyBorder="1" applyAlignment="1">
      <alignment/>
    </xf>
    <xf numFmtId="0" fontId="1" fillId="21" borderId="10" xfId="0" applyFont="1" applyFill="1" applyBorder="1" applyAlignment="1">
      <alignment/>
    </xf>
    <xf numFmtId="0" fontId="1" fillId="21" borderId="12" xfId="0" applyFont="1" applyFill="1" applyBorder="1" applyAlignment="1">
      <alignment/>
    </xf>
    <xf numFmtId="0" fontId="1" fillId="21" borderId="68" xfId="0" applyFont="1" applyFill="1" applyBorder="1" applyAlignment="1">
      <alignment/>
    </xf>
    <xf numFmtId="0" fontId="1" fillId="21" borderId="55" xfId="0" applyFont="1" applyFill="1" applyBorder="1" applyAlignment="1">
      <alignment/>
    </xf>
    <xf numFmtId="0" fontId="1" fillId="21" borderId="4" xfId="0" applyFont="1" applyFill="1" applyBorder="1" applyAlignment="1">
      <alignment/>
    </xf>
    <xf numFmtId="0" fontId="1" fillId="21" borderId="2" xfId="0" applyFont="1" applyFill="1" applyBorder="1" applyAlignment="1">
      <alignment horizontal="center"/>
    </xf>
    <xf numFmtId="0" fontId="1" fillId="21" borderId="6" xfId="0" applyFont="1" applyFill="1" applyBorder="1" applyAlignment="1">
      <alignment horizontal="center"/>
    </xf>
    <xf numFmtId="0" fontId="1" fillId="21" borderId="7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49" fontId="1" fillId="21" borderId="50" xfId="0" applyNumberFormat="1" applyFont="1" applyFill="1" applyBorder="1" applyAlignment="1">
      <alignment/>
    </xf>
    <xf numFmtId="49" fontId="1" fillId="21" borderId="37" xfId="0" applyNumberFormat="1" applyFont="1" applyFill="1" applyBorder="1" applyAlignment="1">
      <alignment horizontal="right"/>
    </xf>
    <xf numFmtId="49" fontId="1" fillId="21" borderId="52" xfId="0" applyNumberFormat="1" applyFont="1" applyFill="1" applyBorder="1" applyAlignment="1">
      <alignment/>
    </xf>
    <xf numFmtId="49" fontId="1" fillId="21" borderId="54" xfId="0" applyNumberFormat="1" applyFont="1" applyFill="1" applyBorder="1" applyAlignment="1">
      <alignment/>
    </xf>
    <xf numFmtId="49" fontId="1" fillId="21" borderId="21" xfId="0" applyNumberFormat="1" applyFont="1" applyFill="1" applyBorder="1" applyAlignment="1">
      <alignment horizontal="right"/>
    </xf>
    <xf numFmtId="49" fontId="1" fillId="21" borderId="58" xfId="0" applyNumberFormat="1" applyFont="1" applyFill="1" applyBorder="1" applyAlignment="1">
      <alignment/>
    </xf>
    <xf numFmtId="49" fontId="1" fillId="21" borderId="67" xfId="0" applyNumberFormat="1" applyFont="1" applyFill="1" applyBorder="1" applyAlignment="1">
      <alignment/>
    </xf>
    <xf numFmtId="49" fontId="1" fillId="21" borderId="38" xfId="0" applyNumberFormat="1" applyFont="1" applyFill="1" applyBorder="1" applyAlignment="1">
      <alignment horizontal="right"/>
    </xf>
    <xf numFmtId="49" fontId="1" fillId="21" borderId="48" xfId="0" applyNumberFormat="1" applyFont="1" applyFill="1" applyBorder="1" applyAlignment="1">
      <alignment/>
    </xf>
    <xf numFmtId="0" fontId="1" fillId="21" borderId="11" xfId="0" applyFont="1" applyFill="1" applyBorder="1" applyAlignment="1">
      <alignment horizontal="center"/>
    </xf>
    <xf numFmtId="0" fontId="1" fillId="21" borderId="45" xfId="0" applyFont="1" applyFill="1" applyBorder="1" applyAlignment="1">
      <alignment/>
    </xf>
    <xf numFmtId="49" fontId="1" fillId="21" borderId="7" xfId="0" applyNumberFormat="1" applyFont="1" applyFill="1" applyBorder="1" applyAlignment="1">
      <alignment/>
    </xf>
    <xf numFmtId="49" fontId="1" fillId="21" borderId="69" xfId="0" applyNumberFormat="1" applyFont="1" applyFill="1" applyBorder="1" applyAlignment="1">
      <alignment/>
    </xf>
    <xf numFmtId="0" fontId="1" fillId="21" borderId="65" xfId="0" applyFont="1" applyFill="1" applyBorder="1" applyAlignment="1">
      <alignment/>
    </xf>
    <xf numFmtId="49" fontId="1" fillId="21" borderId="72" xfId="0" applyNumberFormat="1" applyFont="1" applyFill="1" applyBorder="1" applyAlignment="1">
      <alignment/>
    </xf>
    <xf numFmtId="49" fontId="1" fillId="21" borderId="21" xfId="0" applyNumberFormat="1" applyFont="1" applyFill="1" applyBorder="1" applyAlignment="1">
      <alignment/>
    </xf>
    <xf numFmtId="49" fontId="1" fillId="21" borderId="22" xfId="0" applyNumberFormat="1" applyFont="1" applyFill="1" applyBorder="1" applyAlignment="1">
      <alignment/>
    </xf>
    <xf numFmtId="49" fontId="1" fillId="21" borderId="11" xfId="0" applyNumberFormat="1" applyFont="1" applyFill="1" applyBorder="1" applyAlignment="1">
      <alignment/>
    </xf>
    <xf numFmtId="49" fontId="1" fillId="21" borderId="38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7" borderId="42" xfId="0" applyFont="1" applyFill="1" applyBorder="1" applyAlignment="1">
      <alignment/>
    </xf>
    <xf numFmtId="0" fontId="1" fillId="2" borderId="68" xfId="0" applyFont="1" applyFill="1" applyBorder="1" applyAlignment="1">
      <alignment horizontal="right"/>
    </xf>
    <xf numFmtId="0" fontId="1" fillId="14" borderId="10" xfId="0" applyFont="1" applyFill="1" applyBorder="1" applyAlignment="1">
      <alignment/>
    </xf>
    <xf numFmtId="0" fontId="1" fillId="12" borderId="3" xfId="0" applyFont="1" applyFill="1" applyBorder="1" applyAlignment="1">
      <alignment/>
    </xf>
    <xf numFmtId="0" fontId="1" fillId="12" borderId="1" xfId="0" applyNumberFormat="1" applyFont="1" applyFill="1" applyBorder="1" applyAlignment="1">
      <alignment horizontal="center"/>
    </xf>
    <xf numFmtId="0" fontId="8" fillId="12" borderId="72" xfId="0" applyFont="1" applyFill="1" applyBorder="1" applyAlignment="1">
      <alignment/>
    </xf>
    <xf numFmtId="0" fontId="8" fillId="12" borderId="11" xfId="0" applyFont="1" applyFill="1" applyBorder="1" applyAlignment="1">
      <alignment/>
    </xf>
    <xf numFmtId="0" fontId="8" fillId="12" borderId="72" xfId="0" applyFont="1" applyFill="1" applyBorder="1" applyAlignment="1">
      <alignment horizontal="center"/>
    </xf>
    <xf numFmtId="0" fontId="8" fillId="12" borderId="0" xfId="0" applyFont="1" applyFill="1" applyBorder="1" applyAlignment="1">
      <alignment/>
    </xf>
    <xf numFmtId="0" fontId="8" fillId="12" borderId="3" xfId="0" applyFont="1" applyFill="1" applyBorder="1" applyAlignment="1">
      <alignment/>
    </xf>
    <xf numFmtId="0" fontId="1" fillId="12" borderId="10" xfId="0" applyNumberFormat="1" applyFont="1" applyFill="1" applyBorder="1" applyAlignment="1">
      <alignment horizontal="center"/>
    </xf>
    <xf numFmtId="0" fontId="8" fillId="12" borderId="65" xfId="0" applyFont="1" applyFill="1" applyBorder="1" applyAlignment="1">
      <alignment horizontal="center"/>
    </xf>
    <xf numFmtId="0" fontId="1" fillId="12" borderId="41" xfId="0" applyFont="1" applyFill="1" applyBorder="1" applyAlignment="1">
      <alignment/>
    </xf>
    <xf numFmtId="0" fontId="1" fillId="12" borderId="32" xfId="0" applyFont="1" applyFill="1" applyBorder="1" applyAlignment="1">
      <alignment/>
    </xf>
    <xf numFmtId="0" fontId="1" fillId="15" borderId="5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49" fontId="1" fillId="15" borderId="0" xfId="0" applyNumberFormat="1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49" fontId="1" fillId="15" borderId="13" xfId="0" applyNumberFormat="1" applyFont="1" applyFill="1" applyBorder="1" applyAlignment="1">
      <alignment horizontal="center"/>
    </xf>
    <xf numFmtId="49" fontId="1" fillId="15" borderId="31" xfId="0" applyNumberFormat="1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5" borderId="5" xfId="0" applyFont="1" applyFill="1" applyBorder="1" applyAlignment="1">
      <alignment/>
    </xf>
    <xf numFmtId="0" fontId="1" fillId="16" borderId="1" xfId="0" applyFont="1" applyFill="1" applyBorder="1" applyAlignment="1">
      <alignment horizontal="left"/>
    </xf>
    <xf numFmtId="0" fontId="1" fillId="5" borderId="38" xfId="0" applyNumberFormat="1" applyFont="1" applyFill="1" applyBorder="1" applyAlignment="1">
      <alignment horizontal="center"/>
    </xf>
    <xf numFmtId="49" fontId="1" fillId="15" borderId="5" xfId="0" applyNumberFormat="1" applyFont="1" applyFill="1" applyBorder="1" applyAlignment="1">
      <alignment horizontal="center"/>
    </xf>
    <xf numFmtId="0" fontId="1" fillId="15" borderId="0" xfId="0" applyFont="1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right"/>
    </xf>
    <xf numFmtId="0" fontId="1" fillId="15" borderId="54" xfId="0" applyNumberFormat="1" applyFont="1" applyFill="1" applyBorder="1" applyAlignment="1">
      <alignment horizontal="center"/>
    </xf>
    <xf numFmtId="0" fontId="1" fillId="15" borderId="9" xfId="0" applyNumberFormat="1" applyFont="1" applyFill="1" applyBorder="1" applyAlignment="1">
      <alignment horizontal="center"/>
    </xf>
    <xf numFmtId="0" fontId="1" fillId="15" borderId="67" xfId="0" applyNumberFormat="1" applyFont="1" applyFill="1" applyBorder="1" applyAlignment="1">
      <alignment horizontal="center"/>
    </xf>
    <xf numFmtId="0" fontId="1" fillId="15" borderId="12" xfId="0" applyNumberFormat="1" applyFont="1" applyFill="1" applyBorder="1" applyAlignment="1">
      <alignment horizontal="center"/>
    </xf>
    <xf numFmtId="0" fontId="1" fillId="15" borderId="15" xfId="0" applyFont="1" applyFill="1" applyBorder="1" applyAlignment="1">
      <alignment horizontal="right"/>
    </xf>
    <xf numFmtId="0" fontId="1" fillId="15" borderId="7" xfId="0" applyFont="1" applyFill="1" applyBorder="1" applyAlignment="1">
      <alignment horizontal="center"/>
    </xf>
    <xf numFmtId="49" fontId="1" fillId="15" borderId="9" xfId="0" applyNumberFormat="1" applyFont="1" applyFill="1" applyBorder="1" applyAlignment="1">
      <alignment horizontal="center"/>
    </xf>
    <xf numFmtId="0" fontId="1" fillId="15" borderId="15" xfId="0" applyFont="1" applyFill="1" applyBorder="1" applyAlignment="1">
      <alignment/>
    </xf>
    <xf numFmtId="0" fontId="1" fillId="15" borderId="13" xfId="0" applyFont="1" applyFill="1" applyBorder="1" applyAlignment="1">
      <alignment/>
    </xf>
    <xf numFmtId="0" fontId="1" fillId="15" borderId="7" xfId="0" applyNumberFormat="1" applyFont="1" applyFill="1" applyBorder="1" applyAlignment="1">
      <alignment horizontal="center"/>
    </xf>
    <xf numFmtId="49" fontId="1" fillId="15" borderId="7" xfId="0" applyNumberFormat="1" applyFont="1" applyFill="1" applyBorder="1" applyAlignment="1">
      <alignment horizontal="left"/>
    </xf>
    <xf numFmtId="0" fontId="1" fillId="15" borderId="20" xfId="0" applyFont="1" applyFill="1" applyBorder="1" applyAlignment="1">
      <alignment/>
    </xf>
    <xf numFmtId="0" fontId="1" fillId="15" borderId="18" xfId="0" applyNumberFormat="1" applyFont="1" applyFill="1" applyBorder="1" applyAlignment="1">
      <alignment horizontal="center"/>
    </xf>
    <xf numFmtId="49" fontId="1" fillId="15" borderId="11" xfId="0" applyNumberFormat="1" applyFont="1" applyFill="1" applyBorder="1" applyAlignment="1">
      <alignment/>
    </xf>
    <xf numFmtId="0" fontId="1" fillId="15" borderId="31" xfId="0" applyNumberFormat="1" applyFont="1" applyFill="1" applyBorder="1" applyAlignment="1">
      <alignment horizontal="center"/>
    </xf>
    <xf numFmtId="0" fontId="1" fillId="15" borderId="55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/>
    </xf>
    <xf numFmtId="0" fontId="1" fillId="12" borderId="16" xfId="0" applyFont="1" applyFill="1" applyBorder="1" applyAlignment="1">
      <alignment horizontal="center"/>
    </xf>
    <xf numFmtId="0" fontId="1" fillId="12" borderId="50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right"/>
    </xf>
    <xf numFmtId="0" fontId="1" fillId="12" borderId="10" xfId="0" applyFont="1" applyFill="1" applyBorder="1" applyAlignment="1">
      <alignment horizontal="right"/>
    </xf>
    <xf numFmtId="0" fontId="1" fillId="12" borderId="15" xfId="0" applyFont="1" applyFill="1" applyBorder="1" applyAlignment="1">
      <alignment horizontal="right"/>
    </xf>
    <xf numFmtId="0" fontId="1" fillId="6" borderId="17" xfId="0" applyFon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8" fillId="12" borderId="41" xfId="0" applyFont="1" applyFill="1" applyBorder="1" applyAlignment="1">
      <alignment/>
    </xf>
    <xf numFmtId="49" fontId="8" fillId="12" borderId="65" xfId="0" applyNumberFormat="1" applyFont="1" applyFill="1" applyBorder="1" applyAlignment="1">
      <alignment horizontal="center"/>
    </xf>
    <xf numFmtId="49" fontId="8" fillId="12" borderId="72" xfId="0" applyNumberFormat="1" applyFont="1" applyFill="1" applyBorder="1" applyAlignment="1">
      <alignment/>
    </xf>
    <xf numFmtId="1" fontId="1" fillId="14" borderId="7" xfId="0" applyNumberFormat="1" applyFont="1" applyFill="1" applyBorder="1" applyAlignment="1">
      <alignment horizontal="center"/>
    </xf>
    <xf numFmtId="1" fontId="1" fillId="14" borderId="23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2" fillId="8" borderId="0" xfId="0" applyFont="1" applyFill="1" applyAlignment="1">
      <alignment/>
    </xf>
    <xf numFmtId="0" fontId="23" fillId="8" borderId="0" xfId="0" applyFont="1" applyFill="1" applyAlignment="1">
      <alignment/>
    </xf>
    <xf numFmtId="0" fontId="0" fillId="7" borderId="0" xfId="0" applyFont="1" applyFill="1" applyAlignment="1">
      <alignment/>
    </xf>
    <xf numFmtId="0" fontId="1" fillId="14" borderId="31" xfId="0" applyFont="1" applyFill="1" applyBorder="1" applyAlignment="1">
      <alignment horizontal="center"/>
    </xf>
    <xf numFmtId="0" fontId="16" fillId="2" borderId="11" xfId="0" applyFont="1" applyFill="1" applyBorder="1" applyAlignment="1">
      <alignment/>
    </xf>
    <xf numFmtId="1" fontId="1" fillId="12" borderId="0" xfId="0" applyNumberFormat="1" applyFont="1" applyFill="1" applyBorder="1" applyAlignment="1">
      <alignment/>
    </xf>
    <xf numFmtId="0" fontId="1" fillId="14" borderId="5" xfId="0" applyFont="1" applyFill="1" applyBorder="1" applyAlignment="1">
      <alignment horizontal="left"/>
    </xf>
    <xf numFmtId="0" fontId="1" fillId="14" borderId="5" xfId="0" applyFont="1" applyFill="1" applyBorder="1" applyAlignment="1">
      <alignment/>
    </xf>
    <xf numFmtId="0" fontId="1" fillId="14" borderId="55" xfId="0" applyFont="1" applyFill="1" applyBorder="1" applyAlignment="1">
      <alignment horizontal="center"/>
    </xf>
    <xf numFmtId="0" fontId="1" fillId="13" borderId="50" xfId="0" applyFont="1" applyFill="1" applyBorder="1" applyAlignment="1">
      <alignment/>
    </xf>
    <xf numFmtId="0" fontId="1" fillId="13" borderId="54" xfId="0" applyFont="1" applyFill="1" applyBorder="1" applyAlignment="1">
      <alignment/>
    </xf>
    <xf numFmtId="0" fontId="1" fillId="13" borderId="69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49" fontId="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49" fontId="0" fillId="12" borderId="0" xfId="0" applyNumberFormat="1" applyFill="1" applyAlignment="1">
      <alignment/>
    </xf>
    <xf numFmtId="0" fontId="0" fillId="12" borderId="0" xfId="0" applyFill="1" applyBorder="1" applyAlignment="1">
      <alignment/>
    </xf>
    <xf numFmtId="0" fontId="6" fillId="12" borderId="0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1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right"/>
    </xf>
    <xf numFmtId="0" fontId="1" fillId="12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left"/>
    </xf>
    <xf numFmtId="0" fontId="1" fillId="12" borderId="0" xfId="0" applyNumberFormat="1" applyFont="1" applyFill="1" applyBorder="1" applyAlignment="1">
      <alignment horizontal="center"/>
    </xf>
    <xf numFmtId="0" fontId="0" fillId="12" borderId="0" xfId="0" applyFont="1" applyFill="1" applyBorder="1" applyAlignment="1">
      <alignment horizontal="left"/>
    </xf>
    <xf numFmtId="0" fontId="1" fillId="7" borderId="73" xfId="0" applyNumberFormat="1" applyFont="1" applyFill="1" applyBorder="1" applyAlignment="1">
      <alignment horizontal="center"/>
    </xf>
    <xf numFmtId="0" fontId="1" fillId="7" borderId="58" xfId="0" applyNumberFormat="1" applyFont="1" applyFill="1" applyBorder="1" applyAlignment="1">
      <alignment horizontal="center"/>
    </xf>
    <xf numFmtId="0" fontId="1" fillId="7" borderId="7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16" borderId="0" xfId="0" applyFont="1" applyFill="1" applyAlignment="1">
      <alignment/>
    </xf>
    <xf numFmtId="0" fontId="0" fillId="16" borderId="0" xfId="0" applyFill="1" applyAlignment="1">
      <alignment/>
    </xf>
    <xf numFmtId="0" fontId="9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12" borderId="0" xfId="0" applyFont="1" applyFill="1" applyAlignment="1">
      <alignment/>
    </xf>
    <xf numFmtId="0" fontId="9" fillId="12" borderId="0" xfId="0" applyFont="1" applyFill="1" applyAlignment="1">
      <alignment/>
    </xf>
    <xf numFmtId="0" fontId="1" fillId="12" borderId="19" xfId="0" applyFont="1" applyFill="1" applyBorder="1" applyAlignment="1">
      <alignment/>
    </xf>
    <xf numFmtId="0" fontId="1" fillId="12" borderId="14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7" borderId="26" xfId="0" applyFont="1" applyFill="1" applyBorder="1" applyAlignment="1">
      <alignment/>
    </xf>
    <xf numFmtId="0" fontId="1" fillId="7" borderId="8" xfId="0" applyNumberFormat="1" applyFont="1" applyFill="1" applyBorder="1" applyAlignment="1">
      <alignment horizontal="center"/>
    </xf>
    <xf numFmtId="0" fontId="1" fillId="16" borderId="3" xfId="0" applyFont="1" applyFill="1" applyBorder="1" applyAlignment="1">
      <alignment horizontal="right"/>
    </xf>
    <xf numFmtId="0" fontId="1" fillId="16" borderId="0" xfId="0" applyFont="1" applyFill="1" applyBorder="1" applyAlignment="1">
      <alignment horizontal="right"/>
    </xf>
    <xf numFmtId="0" fontId="1" fillId="16" borderId="11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left"/>
    </xf>
    <xf numFmtId="0" fontId="1" fillId="14" borderId="7" xfId="0" applyFont="1" applyFill="1" applyBorder="1" applyAlignment="1">
      <alignment horizontal="center"/>
    </xf>
    <xf numFmtId="49" fontId="1" fillId="16" borderId="0" xfId="0" applyNumberFormat="1" applyFont="1" applyFill="1" applyBorder="1" applyAlignment="1">
      <alignment horizontal="center"/>
    </xf>
    <xf numFmtId="49" fontId="1" fillId="16" borderId="1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7" borderId="26" xfId="0" applyNumberFormat="1" applyFont="1" applyFill="1" applyBorder="1" applyAlignment="1">
      <alignment/>
    </xf>
    <xf numFmtId="0" fontId="1" fillId="7" borderId="13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21" borderId="39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5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6" fillId="2" borderId="6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0" fontId="8" fillId="10" borderId="7" xfId="0" applyFont="1" applyFill="1" applyBorder="1" applyAlignment="1">
      <alignment/>
    </xf>
    <xf numFmtId="0" fontId="8" fillId="10" borderId="23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1" borderId="16" xfId="0" applyFont="1" applyFill="1" applyBorder="1" applyAlignment="1">
      <alignment horizontal="center"/>
    </xf>
    <xf numFmtId="0" fontId="8" fillId="10" borderId="2" xfId="0" applyFont="1" applyFill="1" applyBorder="1" applyAlignment="1">
      <alignment/>
    </xf>
    <xf numFmtId="0" fontId="1" fillId="21" borderId="10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/>
    </xf>
    <xf numFmtId="0" fontId="1" fillId="8" borderId="21" xfId="0" applyFont="1" applyFill="1" applyBorder="1" applyAlignment="1">
      <alignment/>
    </xf>
    <xf numFmtId="0" fontId="1" fillId="8" borderId="2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1" fillId="8" borderId="52" xfId="0" applyNumberFormat="1" applyFont="1" applyFill="1" applyBorder="1" applyAlignment="1">
      <alignment horizontal="center"/>
    </xf>
    <xf numFmtId="0" fontId="1" fillId="8" borderId="73" xfId="0" applyNumberFormat="1" applyFont="1" applyFill="1" applyBorder="1" applyAlignment="1">
      <alignment horizontal="center"/>
    </xf>
    <xf numFmtId="0" fontId="1" fillId="8" borderId="58" xfId="0" applyFont="1" applyFill="1" applyBorder="1" applyAlignment="1">
      <alignment/>
    </xf>
    <xf numFmtId="0" fontId="1" fillId="8" borderId="58" xfId="0" applyNumberFormat="1" applyFont="1" applyFill="1" applyBorder="1" applyAlignment="1">
      <alignment horizontal="center"/>
    </xf>
    <xf numFmtId="0" fontId="1" fillId="8" borderId="53" xfId="0" applyNumberFormat="1" applyFont="1" applyFill="1" applyBorder="1" applyAlignment="1">
      <alignment horizontal="center"/>
    </xf>
    <xf numFmtId="0" fontId="1" fillId="8" borderId="48" xfId="0" applyNumberFormat="1" applyFont="1" applyFill="1" applyBorder="1" applyAlignment="1">
      <alignment horizontal="center"/>
    </xf>
    <xf numFmtId="0" fontId="1" fillId="8" borderId="50" xfId="0" applyFont="1" applyFill="1" applyBorder="1" applyAlignment="1">
      <alignment horizontal="center"/>
    </xf>
    <xf numFmtId="0" fontId="1" fillId="8" borderId="70" xfId="0" applyFont="1" applyFill="1" applyBorder="1" applyAlignment="1">
      <alignment horizontal="center"/>
    </xf>
    <xf numFmtId="0" fontId="1" fillId="8" borderId="54" xfId="0" applyFont="1" applyFill="1" applyBorder="1" applyAlignment="1">
      <alignment/>
    </xf>
    <xf numFmtId="0" fontId="1" fillId="8" borderId="54" xfId="0" applyFont="1" applyFill="1" applyBorder="1" applyAlignment="1">
      <alignment horizontal="center"/>
    </xf>
    <xf numFmtId="0" fontId="1" fillId="8" borderId="51" xfId="0" applyFont="1" applyFill="1" applyBorder="1" applyAlignment="1">
      <alignment horizontal="center"/>
    </xf>
    <xf numFmtId="0" fontId="1" fillId="8" borderId="67" xfId="0" applyFont="1" applyFill="1" applyBorder="1" applyAlignment="1">
      <alignment horizontal="center"/>
    </xf>
    <xf numFmtId="0" fontId="1" fillId="10" borderId="21" xfId="0" applyFont="1" applyFill="1" applyBorder="1" applyAlignment="1">
      <alignment/>
    </xf>
    <xf numFmtId="0" fontId="1" fillId="14" borderId="7" xfId="0" applyNumberFormat="1" applyFont="1" applyFill="1" applyBorder="1" applyAlignment="1">
      <alignment horizontal="center"/>
    </xf>
    <xf numFmtId="10" fontId="1" fillId="14" borderId="66" xfId="0" applyNumberFormat="1" applyFont="1" applyFill="1" applyBorder="1" applyAlignment="1">
      <alignment horizontal="center"/>
    </xf>
    <xf numFmtId="0" fontId="1" fillId="14" borderId="17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1" fillId="12" borderId="0" xfId="0" applyFont="1" applyFill="1" applyBorder="1" applyAlignment="1">
      <alignment horizontal="right"/>
    </xf>
    <xf numFmtId="0" fontId="8" fillId="12" borderId="70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1" fillId="12" borderId="70" xfId="0" applyFont="1" applyFill="1" applyBorder="1" applyAlignment="1">
      <alignment/>
    </xf>
    <xf numFmtId="0" fontId="8" fillId="12" borderId="75" xfId="0" applyFont="1" applyFill="1" applyBorder="1" applyAlignment="1">
      <alignment horizontal="center"/>
    </xf>
    <xf numFmtId="0" fontId="1" fillId="12" borderId="76" xfId="0" applyFont="1" applyFill="1" applyBorder="1" applyAlignment="1">
      <alignment/>
    </xf>
    <xf numFmtId="0" fontId="1" fillId="12" borderId="51" xfId="0" applyFont="1" applyFill="1" applyBorder="1" applyAlignment="1">
      <alignment/>
    </xf>
    <xf numFmtId="0" fontId="1" fillId="12" borderId="60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right"/>
    </xf>
    <xf numFmtId="0" fontId="1" fillId="12" borderId="11" xfId="0" applyFont="1" applyFill="1" applyBorder="1" applyAlignment="1">
      <alignment horizontal="right"/>
    </xf>
    <xf numFmtId="0" fontId="1" fillId="12" borderId="39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8" fillId="12" borderId="67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12" borderId="27" xfId="0" applyNumberFormat="1" applyFont="1" applyFill="1" applyBorder="1" applyAlignment="1">
      <alignment horizontal="center"/>
    </xf>
    <xf numFmtId="0" fontId="1" fillId="12" borderId="55" xfId="0" applyNumberFormat="1" applyFont="1" applyFill="1" applyBorder="1" applyAlignment="1">
      <alignment horizontal="center"/>
    </xf>
    <xf numFmtId="0" fontId="1" fillId="12" borderId="62" xfId="0" applyNumberFormat="1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27" xfId="0" applyNumberFormat="1" applyFont="1" applyFill="1" applyBorder="1" applyAlignment="1">
      <alignment horizontal="center"/>
    </xf>
    <xf numFmtId="0" fontId="1" fillId="5" borderId="62" xfId="0" applyNumberFormat="1" applyFont="1" applyFill="1" applyBorder="1" applyAlignment="1">
      <alignment horizontal="center"/>
    </xf>
    <xf numFmtId="0" fontId="1" fillId="5" borderId="62" xfId="0" applyFont="1" applyFill="1" applyBorder="1" applyAlignment="1">
      <alignment/>
    </xf>
    <xf numFmtId="0" fontId="1" fillId="5" borderId="55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27" xfId="0" applyFont="1" applyFill="1" applyBorder="1" applyAlignment="1">
      <alignment/>
    </xf>
    <xf numFmtId="0" fontId="1" fillId="5" borderId="55" xfId="0" applyFont="1" applyFill="1" applyBorder="1" applyAlignment="1">
      <alignment/>
    </xf>
    <xf numFmtId="0" fontId="1" fillId="12" borderId="41" xfId="0" applyFont="1" applyFill="1" applyBorder="1" applyAlignment="1">
      <alignment horizontal="center"/>
    </xf>
    <xf numFmtId="0" fontId="1" fillId="5" borderId="32" xfId="0" applyFont="1" applyFill="1" applyBorder="1" applyAlignment="1">
      <alignment/>
    </xf>
    <xf numFmtId="0" fontId="1" fillId="12" borderId="63" xfId="0" applyFont="1" applyFill="1" applyBorder="1" applyAlignment="1">
      <alignment horizontal="center"/>
    </xf>
    <xf numFmtId="0" fontId="1" fillId="5" borderId="53" xfId="0" applyFont="1" applyFill="1" applyBorder="1" applyAlignment="1">
      <alignment/>
    </xf>
    <xf numFmtId="0" fontId="1" fillId="5" borderId="13" xfId="0" applyNumberFormat="1" applyFont="1" applyFill="1" applyBorder="1" applyAlignment="1">
      <alignment horizontal="center"/>
    </xf>
    <xf numFmtId="0" fontId="1" fillId="5" borderId="68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right"/>
    </xf>
    <xf numFmtId="0" fontId="1" fillId="12" borderId="21" xfId="0" applyFont="1" applyFill="1" applyBorder="1" applyAlignment="1">
      <alignment/>
    </xf>
    <xf numFmtId="0" fontId="1" fillId="12" borderId="58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12" borderId="31" xfId="0" applyFont="1" applyFill="1" applyBorder="1" applyAlignment="1">
      <alignment/>
    </xf>
    <xf numFmtId="0" fontId="1" fillId="14" borderId="31" xfId="0" applyFont="1" applyFill="1" applyBorder="1" applyAlignment="1">
      <alignment/>
    </xf>
    <xf numFmtId="0" fontId="1" fillId="14" borderId="20" xfId="0" applyFont="1" applyFill="1" applyBorder="1" applyAlignment="1">
      <alignment/>
    </xf>
    <xf numFmtId="0" fontId="1" fillId="16" borderId="16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49" fontId="1" fillId="16" borderId="3" xfId="0" applyNumberFormat="1" applyFont="1" applyFill="1" applyBorder="1" applyAlignment="1">
      <alignment horizontal="center"/>
    </xf>
    <xf numFmtId="49" fontId="1" fillId="16" borderId="14" xfId="0" applyNumberFormat="1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19" borderId="10" xfId="0" applyFont="1" applyFill="1" applyBorder="1" applyAlignment="1">
      <alignment horizontal="center"/>
    </xf>
    <xf numFmtId="0" fontId="20" fillId="19" borderId="11" xfId="0" applyFont="1" applyFill="1" applyBorder="1" applyAlignment="1">
      <alignment horizontal="center"/>
    </xf>
    <xf numFmtId="0" fontId="20" fillId="19" borderId="49" xfId="0" applyFont="1" applyFill="1" applyBorder="1" applyAlignment="1">
      <alignment horizontal="center"/>
    </xf>
    <xf numFmtId="0" fontId="20" fillId="19" borderId="19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19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auto="1"/>
      </font>
      <fill>
        <patternFill>
          <bgColor rgb="FFC0C0C0"/>
        </patternFill>
      </fill>
      <border/>
    </dxf>
    <dxf>
      <font>
        <b/>
        <i val="0"/>
        <color auto="1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35">
      <selection activeCell="A62" sqref="A62"/>
    </sheetView>
  </sheetViews>
  <sheetFormatPr defaultColWidth="9.140625" defaultRowHeight="12.75"/>
  <cols>
    <col min="2" max="2" width="5.7109375" style="0" customWidth="1"/>
    <col min="3" max="3" width="5.00390625" style="0" customWidth="1"/>
    <col min="4" max="4" width="5.8515625" style="0" customWidth="1"/>
    <col min="5" max="5" width="12.57421875" style="0" customWidth="1"/>
    <col min="6" max="6" width="3.8515625" style="0" bestFit="1" customWidth="1"/>
    <col min="7" max="7" width="3.421875" style="0" bestFit="1" customWidth="1"/>
    <col min="8" max="8" width="6.00390625" style="0" bestFit="1" customWidth="1"/>
    <col min="9" max="9" width="12.7109375" style="0" customWidth="1"/>
    <col min="10" max="10" width="4.8515625" style="0" customWidth="1"/>
    <col min="11" max="11" width="3.57421875" style="0" customWidth="1"/>
    <col min="12" max="12" width="2.421875" style="0" bestFit="1" customWidth="1"/>
    <col min="13" max="13" width="4.8515625" style="0" bestFit="1" customWidth="1"/>
    <col min="14" max="14" width="6.7109375" style="0" bestFit="1" customWidth="1"/>
    <col min="15" max="15" width="7.421875" style="0" bestFit="1" customWidth="1"/>
    <col min="16" max="16" width="8.28125" style="0" customWidth="1"/>
  </cols>
  <sheetData>
    <row r="1" s="675" customFormat="1" ht="12.75">
      <c r="A1" s="674" t="s">
        <v>831</v>
      </c>
    </row>
    <row r="2" spans="1:9" ht="12.75">
      <c r="A2" s="606" t="s">
        <v>833</v>
      </c>
      <c r="B2" s="606"/>
      <c r="C2" s="606"/>
      <c r="D2" s="606"/>
      <c r="E2" s="606"/>
      <c r="F2" s="606"/>
      <c r="G2" s="606"/>
      <c r="H2" s="606"/>
      <c r="I2" s="606"/>
    </row>
    <row r="3" spans="1:9" ht="12.75">
      <c r="A3" s="606"/>
      <c r="B3" s="606"/>
      <c r="C3" s="606"/>
      <c r="D3" s="606"/>
      <c r="E3" s="606" t="s">
        <v>872</v>
      </c>
      <c r="F3" s="606"/>
      <c r="G3" s="606"/>
      <c r="H3" s="606"/>
      <c r="I3" s="606"/>
    </row>
    <row r="4" spans="1:9" ht="12.75">
      <c r="A4" s="606"/>
      <c r="B4" s="606"/>
      <c r="C4" s="606"/>
      <c r="D4" s="606"/>
      <c r="E4" s="606" t="s">
        <v>873</v>
      </c>
      <c r="F4" s="606"/>
      <c r="G4" s="606"/>
      <c r="H4" s="606"/>
      <c r="I4" s="606"/>
    </row>
    <row r="5" spans="1:18" ht="12.75">
      <c r="A5" s="606"/>
      <c r="B5" s="606"/>
      <c r="C5" s="606"/>
      <c r="D5" s="606"/>
      <c r="E5" s="680" t="s">
        <v>875</v>
      </c>
      <c r="F5" s="680"/>
      <c r="G5" s="680"/>
      <c r="H5" s="680"/>
      <c r="I5" s="680"/>
      <c r="J5" s="695"/>
      <c r="K5" s="695"/>
      <c r="L5" s="695"/>
      <c r="M5" s="695"/>
      <c r="N5" s="695"/>
      <c r="O5" s="695"/>
      <c r="P5" s="695"/>
      <c r="Q5" s="695"/>
      <c r="R5" s="695"/>
    </row>
    <row r="6" spans="1:14" ht="12.75">
      <c r="A6" s="606"/>
      <c r="B6" s="606"/>
      <c r="C6" s="606"/>
      <c r="D6" s="606"/>
      <c r="E6" s="693" t="s">
        <v>877</v>
      </c>
      <c r="F6" s="693"/>
      <c r="G6" s="693"/>
      <c r="H6" s="693"/>
      <c r="I6" s="693"/>
      <c r="J6" s="694"/>
      <c r="K6" s="694"/>
      <c r="L6" s="694"/>
      <c r="M6" s="694"/>
      <c r="N6" s="694"/>
    </row>
    <row r="7" spans="1:17" ht="12.75">
      <c r="A7" s="606"/>
      <c r="B7" s="606"/>
      <c r="C7" s="606"/>
      <c r="D7" s="606"/>
      <c r="E7" s="691" t="s">
        <v>878</v>
      </c>
      <c r="F7" s="691"/>
      <c r="G7" s="691"/>
      <c r="H7" s="691"/>
      <c r="I7" s="691"/>
      <c r="J7" s="692"/>
      <c r="K7" s="692"/>
      <c r="L7" s="692"/>
      <c r="M7" s="692"/>
      <c r="N7" s="692"/>
      <c r="O7" s="692"/>
      <c r="P7" s="692"/>
      <c r="Q7" s="692"/>
    </row>
    <row r="8" spans="1:19" ht="12.75">
      <c r="A8" s="606"/>
      <c r="B8" s="606"/>
      <c r="C8" s="606"/>
      <c r="D8" s="606"/>
      <c r="E8" s="678" t="s">
        <v>874</v>
      </c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</row>
    <row r="9" s="675" customFormat="1" ht="12.75">
      <c r="A9" s="674" t="s">
        <v>832</v>
      </c>
    </row>
    <row r="10" spans="1:9" ht="12.75">
      <c r="A10" s="717" t="s">
        <v>869</v>
      </c>
      <c r="B10" s="697"/>
      <c r="C10" s="697"/>
      <c r="D10" s="697"/>
      <c r="E10" s="697"/>
      <c r="F10" s="697"/>
      <c r="G10" s="697"/>
      <c r="H10" s="697"/>
      <c r="I10" s="697"/>
    </row>
    <row r="11" spans="1:9" ht="13.5" thickBot="1">
      <c r="A11" s="718"/>
      <c r="B11" s="697"/>
      <c r="C11" s="697"/>
      <c r="D11" s="697"/>
      <c r="E11" s="697" t="s">
        <v>851</v>
      </c>
      <c r="F11" s="697"/>
      <c r="G11" s="697"/>
      <c r="H11" s="697"/>
      <c r="I11" s="697"/>
    </row>
    <row r="12" spans="1:17" ht="13.5" thickBot="1">
      <c r="A12" s="534"/>
      <c r="B12" s="1" t="s">
        <v>127</v>
      </c>
      <c r="C12" s="3"/>
      <c r="D12" s="3"/>
      <c r="E12" s="3"/>
      <c r="F12" s="55" t="s">
        <v>119</v>
      </c>
      <c r="G12" s="302" t="s">
        <v>812</v>
      </c>
      <c r="H12" s="293" t="s">
        <v>125</v>
      </c>
      <c r="I12" s="302" t="s">
        <v>126</v>
      </c>
      <c r="J12" s="42" t="s">
        <v>124</v>
      </c>
      <c r="K12" s="56">
        <v>0</v>
      </c>
      <c r="L12" s="43">
        <v>-1</v>
      </c>
      <c r="M12" s="315" t="s">
        <v>121</v>
      </c>
      <c r="N12" s="56" t="s">
        <v>814</v>
      </c>
      <c r="O12" s="3" t="s">
        <v>815</v>
      </c>
      <c r="P12" s="18" t="s">
        <v>816</v>
      </c>
      <c r="Q12" s="316"/>
    </row>
    <row r="13" spans="1:17" ht="12.75">
      <c r="A13" s="534"/>
      <c r="B13" s="322" t="s">
        <v>843</v>
      </c>
      <c r="C13" s="668" t="s">
        <v>841</v>
      </c>
      <c r="D13" s="621"/>
      <c r="E13" s="621"/>
      <c r="F13" s="616"/>
      <c r="G13" s="301"/>
      <c r="H13" s="303"/>
      <c r="I13" s="177"/>
      <c r="J13" s="659"/>
      <c r="K13" s="660"/>
      <c r="L13" s="661"/>
      <c r="M13" s="662"/>
      <c r="N13" s="166"/>
      <c r="O13" s="303"/>
      <c r="P13" s="317"/>
      <c r="Q13" s="317"/>
    </row>
    <row r="14" spans="1:17" ht="13.5" thickBot="1">
      <c r="A14" s="534"/>
      <c r="B14" s="669" t="s">
        <v>847</v>
      </c>
      <c r="C14" s="670" t="s">
        <v>846</v>
      </c>
      <c r="D14" s="618" t="s">
        <v>811</v>
      </c>
      <c r="E14" s="618" t="s">
        <v>842</v>
      </c>
      <c r="F14" s="137"/>
      <c r="G14" s="300"/>
      <c r="H14" s="274"/>
      <c r="I14" s="179"/>
      <c r="J14" s="174"/>
      <c r="K14" s="175"/>
      <c r="L14" s="176"/>
      <c r="M14" s="663"/>
      <c r="N14" s="184"/>
      <c r="O14" s="292"/>
      <c r="P14" s="318"/>
      <c r="Q14" s="318"/>
    </row>
    <row r="15" ht="12.75">
      <c r="A15" s="534"/>
    </row>
    <row r="16" spans="1:15" ht="12.75">
      <c r="A16" s="534"/>
      <c r="B16" s="696" t="s">
        <v>843</v>
      </c>
      <c r="C16" s="697"/>
      <c r="D16" s="697"/>
      <c r="E16" s="697" t="s">
        <v>844</v>
      </c>
      <c r="F16" s="697"/>
      <c r="G16" s="697"/>
      <c r="H16" s="697"/>
      <c r="I16" s="697"/>
      <c r="J16" s="697"/>
      <c r="K16" s="697"/>
      <c r="L16" s="697"/>
      <c r="M16" s="697"/>
      <c r="N16" s="697"/>
      <c r="O16" s="697"/>
    </row>
    <row r="17" spans="1:15" ht="12.75">
      <c r="A17" s="534"/>
      <c r="B17" s="698" t="s">
        <v>847</v>
      </c>
      <c r="C17" s="697"/>
      <c r="D17" s="697"/>
      <c r="E17" s="697" t="s">
        <v>845</v>
      </c>
      <c r="F17" s="697"/>
      <c r="G17" s="697"/>
      <c r="H17" s="697"/>
      <c r="I17" s="697"/>
      <c r="J17" s="697"/>
      <c r="K17" s="697"/>
      <c r="L17" s="697"/>
      <c r="M17" s="697"/>
      <c r="N17" s="697"/>
      <c r="O17" s="697"/>
    </row>
    <row r="18" spans="1:15" ht="12.75">
      <c r="A18" s="534"/>
      <c r="B18" s="698" t="s">
        <v>846</v>
      </c>
      <c r="C18" s="697"/>
      <c r="D18" s="697"/>
      <c r="E18" s="697" t="s">
        <v>848</v>
      </c>
      <c r="F18" s="697"/>
      <c r="G18" s="697"/>
      <c r="H18" s="697"/>
      <c r="I18" s="697"/>
      <c r="J18" s="697"/>
      <c r="K18" s="697"/>
      <c r="L18" s="697"/>
      <c r="M18" s="697"/>
      <c r="N18" s="697"/>
      <c r="O18" s="697"/>
    </row>
    <row r="19" spans="1:15" ht="12.75">
      <c r="A19" s="609"/>
      <c r="B19" s="620" t="s">
        <v>841</v>
      </c>
      <c r="C19" s="699"/>
      <c r="D19" s="699"/>
      <c r="E19" s="699" t="s">
        <v>849</v>
      </c>
      <c r="F19" s="699"/>
      <c r="G19" s="699"/>
      <c r="H19" s="699"/>
      <c r="I19" s="699"/>
      <c r="J19" s="699"/>
      <c r="K19" s="699"/>
      <c r="L19" s="699"/>
      <c r="M19" s="697"/>
      <c r="N19" s="697"/>
      <c r="O19" s="697"/>
    </row>
    <row r="20" spans="1:15" ht="12.75">
      <c r="A20" s="609"/>
      <c r="B20" s="620" t="s">
        <v>842</v>
      </c>
      <c r="C20" s="699"/>
      <c r="D20" s="699"/>
      <c r="E20" s="699" t="s">
        <v>850</v>
      </c>
      <c r="F20" s="699"/>
      <c r="G20" s="699"/>
      <c r="H20" s="699"/>
      <c r="I20" s="699"/>
      <c r="J20" s="699"/>
      <c r="K20" s="699"/>
      <c r="L20" s="699"/>
      <c r="M20" s="697"/>
      <c r="N20" s="697"/>
      <c r="O20" s="697"/>
    </row>
    <row r="21" spans="1:15" ht="12.75">
      <c r="A21" s="609"/>
      <c r="B21" s="676" t="s">
        <v>852</v>
      </c>
      <c r="C21" s="677"/>
      <c r="D21" s="677"/>
      <c r="E21" s="699" t="s">
        <v>859</v>
      </c>
      <c r="F21" s="699"/>
      <c r="G21" s="699"/>
      <c r="H21" s="699"/>
      <c r="I21" s="699"/>
      <c r="J21" s="699"/>
      <c r="K21" s="699"/>
      <c r="L21" s="699"/>
      <c r="M21" s="697"/>
      <c r="N21" s="697"/>
      <c r="O21" s="697"/>
    </row>
    <row r="22" spans="1:15" ht="12.75">
      <c r="A22" s="609"/>
      <c r="B22" s="700"/>
      <c r="C22" s="701"/>
      <c r="D22" s="702"/>
      <c r="E22" s="703" t="s">
        <v>853</v>
      </c>
      <c r="F22" s="700"/>
      <c r="G22" s="700"/>
      <c r="H22" s="134"/>
      <c r="I22" s="134"/>
      <c r="J22" s="704"/>
      <c r="K22" s="699"/>
      <c r="L22" s="699"/>
      <c r="M22" s="697"/>
      <c r="N22" s="697"/>
      <c r="O22" s="697"/>
    </row>
    <row r="23" spans="1:15" ht="12.75">
      <c r="A23" s="609"/>
      <c r="B23" s="705"/>
      <c r="C23" s="705"/>
      <c r="D23" s="705"/>
      <c r="E23" s="706" t="s">
        <v>854</v>
      </c>
      <c r="F23" s="705"/>
      <c r="G23" s="705"/>
      <c r="H23" s="620"/>
      <c r="I23" s="620"/>
      <c r="J23" s="707"/>
      <c r="K23" s="699"/>
      <c r="L23" s="699"/>
      <c r="M23" s="697"/>
      <c r="N23" s="697"/>
      <c r="O23" s="697"/>
    </row>
    <row r="24" spans="1:15" ht="12.75">
      <c r="A24" s="609"/>
      <c r="B24" s="705"/>
      <c r="C24" s="705"/>
      <c r="D24" s="705"/>
      <c r="E24" s="706" t="s">
        <v>855</v>
      </c>
      <c r="F24" s="705"/>
      <c r="G24" s="705"/>
      <c r="H24" s="620"/>
      <c r="I24" s="620"/>
      <c r="J24" s="707"/>
      <c r="K24" s="699"/>
      <c r="L24" s="699"/>
      <c r="M24" s="697"/>
      <c r="N24" s="697"/>
      <c r="O24" s="697"/>
    </row>
    <row r="25" spans="1:15" ht="12.75">
      <c r="A25" s="609"/>
      <c r="B25" s="697"/>
      <c r="C25" s="705"/>
      <c r="D25" s="705"/>
      <c r="E25" s="703" t="s">
        <v>856</v>
      </c>
      <c r="F25" s="705"/>
      <c r="G25" s="705"/>
      <c r="H25" s="620"/>
      <c r="I25" s="620"/>
      <c r="J25" s="707"/>
      <c r="K25" s="699"/>
      <c r="L25" s="699"/>
      <c r="M25" s="697"/>
      <c r="N25" s="697"/>
      <c r="O25" s="697"/>
    </row>
    <row r="26" spans="1:15" ht="12.75">
      <c r="A26" s="609"/>
      <c r="B26" s="697"/>
      <c r="C26" s="705"/>
      <c r="D26" s="705"/>
      <c r="E26" s="703" t="s">
        <v>857</v>
      </c>
      <c r="F26" s="705"/>
      <c r="G26" s="705"/>
      <c r="H26" s="620"/>
      <c r="I26" s="620"/>
      <c r="J26" s="707"/>
      <c r="K26" s="699"/>
      <c r="L26" s="699"/>
      <c r="M26" s="697"/>
      <c r="N26" s="697"/>
      <c r="O26" s="697"/>
    </row>
    <row r="27" spans="1:15" ht="12.75">
      <c r="A27" s="609"/>
      <c r="B27" s="697"/>
      <c r="C27" s="705"/>
      <c r="D27" s="705"/>
      <c r="E27" s="703" t="s">
        <v>858</v>
      </c>
      <c r="F27" s="705"/>
      <c r="G27" s="705"/>
      <c r="H27" s="620"/>
      <c r="I27" s="620"/>
      <c r="J27" s="707"/>
      <c r="K27" s="699"/>
      <c r="L27" s="699"/>
      <c r="M27" s="697"/>
      <c r="N27" s="697"/>
      <c r="O27" s="697"/>
    </row>
    <row r="28" spans="1:15" ht="12.75">
      <c r="A28" s="609"/>
      <c r="B28" s="712" t="s">
        <v>860</v>
      </c>
      <c r="C28" s="44"/>
      <c r="D28" s="44"/>
      <c r="E28" s="708" t="s">
        <v>861</v>
      </c>
      <c r="F28" s="705"/>
      <c r="G28" s="705"/>
      <c r="H28" s="620"/>
      <c r="I28" s="620"/>
      <c r="J28" s="707"/>
      <c r="K28" s="699"/>
      <c r="L28" s="699"/>
      <c r="M28" s="697"/>
      <c r="N28" s="697"/>
      <c r="O28" s="697"/>
    </row>
    <row r="29" spans="1:15" ht="12.75">
      <c r="A29" s="609"/>
      <c r="B29" s="712" t="s">
        <v>862</v>
      </c>
      <c r="C29" s="44"/>
      <c r="D29" s="44"/>
      <c r="E29" s="708" t="s">
        <v>863</v>
      </c>
      <c r="F29" s="705"/>
      <c r="G29" s="705"/>
      <c r="H29" s="620"/>
      <c r="I29" s="620"/>
      <c r="J29" s="707"/>
      <c r="K29" s="699"/>
      <c r="L29" s="699"/>
      <c r="M29" s="697"/>
      <c r="N29" s="697"/>
      <c r="O29" s="697"/>
    </row>
    <row r="30" spans="1:15" ht="12.75">
      <c r="A30" s="609"/>
      <c r="B30" s="705"/>
      <c r="C30" s="705"/>
      <c r="D30" s="705"/>
      <c r="E30" s="708" t="s">
        <v>864</v>
      </c>
      <c r="F30" s="705"/>
      <c r="G30" s="705"/>
      <c r="H30" s="620" t="s">
        <v>865</v>
      </c>
      <c r="I30" s="620"/>
      <c r="J30" s="707"/>
      <c r="K30" s="699"/>
      <c r="L30" s="699"/>
      <c r="M30" s="697"/>
      <c r="N30" s="697"/>
      <c r="O30" s="697"/>
    </row>
    <row r="31" spans="1:12" ht="12.75">
      <c r="A31" s="609"/>
      <c r="B31" s="607"/>
      <c r="C31" s="607"/>
      <c r="D31" s="607"/>
      <c r="E31" s="610"/>
      <c r="F31" s="607"/>
      <c r="G31" s="607"/>
      <c r="H31" s="608"/>
      <c r="I31" s="608"/>
      <c r="J31" s="611"/>
      <c r="K31" s="609"/>
      <c r="L31" s="609"/>
    </row>
    <row r="32" spans="1:12" s="675" customFormat="1" ht="12.75">
      <c r="A32" s="676" t="s">
        <v>868</v>
      </c>
      <c r="B32" s="677"/>
      <c r="C32" s="677"/>
      <c r="D32" s="677"/>
      <c r="E32" s="677"/>
      <c r="F32" s="677"/>
      <c r="G32" s="677"/>
      <c r="H32" s="677"/>
      <c r="I32" s="677"/>
      <c r="J32" s="677"/>
      <c r="K32" s="677"/>
      <c r="L32" s="677"/>
    </row>
    <row r="33" spans="1:12" ht="12.75">
      <c r="A33" s="716" t="s">
        <v>870</v>
      </c>
      <c r="B33" s="716"/>
      <c r="C33" s="716"/>
      <c r="D33" s="716"/>
      <c r="E33" s="716"/>
      <c r="F33" s="716"/>
      <c r="G33" s="716"/>
      <c r="H33" s="716"/>
      <c r="I33" s="716"/>
      <c r="J33" s="609"/>
      <c r="K33" s="609"/>
      <c r="L33" s="609"/>
    </row>
    <row r="34" spans="1:9" ht="13.5" thickBot="1">
      <c r="A34" s="695"/>
      <c r="B34" s="695"/>
      <c r="C34" s="695"/>
      <c r="D34" s="695"/>
      <c r="E34" s="695" t="s">
        <v>871</v>
      </c>
      <c r="F34" s="695"/>
      <c r="G34" s="695"/>
      <c r="H34" s="695"/>
      <c r="I34" s="695"/>
    </row>
    <row r="35" spans="2:12" ht="12.75">
      <c r="B35" s="833" t="s">
        <v>128</v>
      </c>
      <c r="C35" s="837"/>
      <c r="D35" s="173"/>
      <c r="E35" s="838" t="s">
        <v>123</v>
      </c>
      <c r="F35" s="838"/>
      <c r="G35" s="838"/>
      <c r="H35" s="839"/>
      <c r="I35" s="837" t="s">
        <v>129</v>
      </c>
      <c r="J35" s="834"/>
      <c r="K35" s="833" t="s">
        <v>119</v>
      </c>
      <c r="L35" s="834"/>
    </row>
    <row r="36" spans="2:12" ht="12.75">
      <c r="B36" s="626"/>
      <c r="C36" s="627"/>
      <c r="D36" s="628"/>
      <c r="E36" s="106"/>
      <c r="F36" s="106"/>
      <c r="G36" s="106"/>
      <c r="H36" s="709"/>
      <c r="I36" s="106" t="s">
        <v>835</v>
      </c>
      <c r="J36" s="294">
        <v>3</v>
      </c>
      <c r="K36" s="98"/>
      <c r="L36" s="99"/>
    </row>
    <row r="37" spans="2:12" ht="13.5" thickBot="1">
      <c r="B37" s="626"/>
      <c r="C37" s="627"/>
      <c r="D37" s="628"/>
      <c r="E37" s="102"/>
      <c r="F37" s="102"/>
      <c r="G37" s="102"/>
      <c r="H37" s="710"/>
      <c r="I37" s="102"/>
      <c r="J37" s="294"/>
      <c r="K37" s="106"/>
      <c r="L37" s="99"/>
    </row>
    <row r="38" spans="2:12" ht="13.5" thickBot="1">
      <c r="B38" s="626"/>
      <c r="C38" s="627"/>
      <c r="D38" s="628"/>
      <c r="E38" s="102"/>
      <c r="F38" s="102"/>
      <c r="G38" s="102"/>
      <c r="H38" s="710"/>
      <c r="I38" s="654">
        <f>IF(I36="TOWER",4,IF(I36="LARGE",3,IF(I36="Small",1,IF(I36="Buckler",1,2))))</f>
        <v>2</v>
      </c>
      <c r="J38" s="656">
        <f>J36+I38</f>
        <v>5</v>
      </c>
      <c r="K38" s="100"/>
      <c r="L38" s="101"/>
    </row>
    <row r="39" spans="2:12" ht="12.75">
      <c r="B39" s="636" t="s">
        <v>809</v>
      </c>
      <c r="C39" s="297"/>
      <c r="D39" s="298" t="s">
        <v>810</v>
      </c>
      <c r="E39" s="102"/>
      <c r="F39" s="102"/>
      <c r="G39" s="102"/>
      <c r="H39" s="710"/>
      <c r="I39" s="835" t="s">
        <v>130</v>
      </c>
      <c r="J39" s="836"/>
      <c r="K39" s="98"/>
      <c r="L39" s="99"/>
    </row>
    <row r="40" spans="2:12" ht="13.5" thickBot="1">
      <c r="B40" s="638"/>
      <c r="C40" s="296"/>
      <c r="D40" s="631"/>
      <c r="E40" s="102"/>
      <c r="F40" s="102"/>
      <c r="G40" s="102"/>
      <c r="H40" s="710"/>
      <c r="I40" s="658" t="s">
        <v>837</v>
      </c>
      <c r="J40" s="259" t="s">
        <v>358</v>
      </c>
      <c r="K40" s="100"/>
      <c r="L40" s="101"/>
    </row>
    <row r="41" spans="2:12" ht="12.75">
      <c r="B41" s="313" t="s">
        <v>131</v>
      </c>
      <c r="C41" s="602"/>
      <c r="D41" s="173" t="s">
        <v>836</v>
      </c>
      <c r="E41" s="102"/>
      <c r="F41" s="102"/>
      <c r="G41" s="102"/>
      <c r="H41" s="710"/>
      <c r="I41" s="246" t="s">
        <v>839</v>
      </c>
      <c r="J41" s="259"/>
      <c r="K41" s="98"/>
      <c r="L41" s="99"/>
    </row>
    <row r="42" spans="2:12" ht="12.75">
      <c r="B42" s="635"/>
      <c r="C42" s="197"/>
      <c r="D42" s="641" t="s">
        <v>123</v>
      </c>
      <c r="E42" s="102"/>
      <c r="F42" s="102"/>
      <c r="G42" s="102"/>
      <c r="H42" s="710"/>
      <c r="I42" s="204" t="s">
        <v>840</v>
      </c>
      <c r="J42" s="259"/>
      <c r="K42" s="100"/>
      <c r="L42" s="101"/>
    </row>
    <row r="43" spans="2:12" ht="13.5" thickBot="1">
      <c r="B43" s="626"/>
      <c r="C43" s="627"/>
      <c r="D43" s="633" t="s">
        <v>130</v>
      </c>
      <c r="E43" s="247"/>
      <c r="F43" s="247"/>
      <c r="G43" s="247"/>
      <c r="H43" s="711"/>
      <c r="I43" s="658"/>
      <c r="J43" s="259"/>
      <c r="K43" s="98"/>
      <c r="L43" s="99"/>
    </row>
    <row r="44" spans="2:12" ht="13.5" thickBot="1">
      <c r="B44" s="640"/>
      <c r="C44" s="630"/>
      <c r="D44" s="634" t="s">
        <v>283</v>
      </c>
      <c r="E44" s="105"/>
      <c r="F44" s="105"/>
      <c r="G44" s="105"/>
      <c r="H44" s="632">
        <f>SUM(H36:H43)</f>
        <v>0</v>
      </c>
      <c r="I44" s="655"/>
      <c r="J44" s="657">
        <f>SUM(J40:J43)</f>
        <v>0</v>
      </c>
      <c r="K44" s="103"/>
      <c r="L44" s="104"/>
    </row>
    <row r="46" spans="2:13" ht="12.75">
      <c r="B46" s="713" t="s">
        <v>123</v>
      </c>
      <c r="C46" s="714"/>
      <c r="D46" s="714"/>
      <c r="E46" s="695" t="s">
        <v>879</v>
      </c>
      <c r="F46" s="695"/>
      <c r="G46" s="695"/>
      <c r="H46" s="695"/>
      <c r="I46" s="695"/>
      <c r="J46" s="695"/>
      <c r="K46" s="695"/>
      <c r="L46" s="695"/>
      <c r="M46" s="695"/>
    </row>
    <row r="47" spans="2:13" ht="12.75">
      <c r="B47" s="715"/>
      <c r="C47" s="695"/>
      <c r="D47" s="695"/>
      <c r="E47" s="695" t="s">
        <v>880</v>
      </c>
      <c r="F47" s="695"/>
      <c r="G47" s="695"/>
      <c r="H47" s="695"/>
      <c r="I47" s="695"/>
      <c r="J47" s="695"/>
      <c r="K47" s="695"/>
      <c r="L47" s="695"/>
      <c r="M47" s="695"/>
    </row>
    <row r="48" spans="2:13" ht="12.75">
      <c r="B48" s="713" t="s">
        <v>129</v>
      </c>
      <c r="C48" s="714"/>
      <c r="D48" s="714"/>
      <c r="E48" s="695" t="s">
        <v>881</v>
      </c>
      <c r="F48" s="695"/>
      <c r="G48" s="695"/>
      <c r="H48" s="695"/>
      <c r="I48" s="695"/>
      <c r="J48" s="695"/>
      <c r="K48" s="695"/>
      <c r="L48" s="695"/>
      <c r="M48" s="695"/>
    </row>
    <row r="49" spans="2:13" ht="12.75">
      <c r="B49" s="695"/>
      <c r="C49" s="695"/>
      <c r="D49" s="695"/>
      <c r="E49" s="695" t="s">
        <v>882</v>
      </c>
      <c r="F49" s="695"/>
      <c r="G49" s="695"/>
      <c r="H49" s="695"/>
      <c r="I49" s="715" t="s">
        <v>883</v>
      </c>
      <c r="J49" s="695"/>
      <c r="K49" s="695"/>
      <c r="L49" s="695"/>
      <c r="M49" s="695"/>
    </row>
    <row r="50" spans="2:13" ht="12.75">
      <c r="B50" s="695"/>
      <c r="C50" s="695"/>
      <c r="D50" s="695"/>
      <c r="E50" s="695"/>
      <c r="F50" s="695"/>
      <c r="G50" s="695"/>
      <c r="H50" s="695"/>
      <c r="I50" s="715" t="s">
        <v>884</v>
      </c>
      <c r="J50" s="695"/>
      <c r="K50" s="695"/>
      <c r="L50" s="695"/>
      <c r="M50" s="695"/>
    </row>
    <row r="51" spans="2:13" ht="12.75">
      <c r="B51" s="695"/>
      <c r="C51" s="695"/>
      <c r="D51" s="695"/>
      <c r="E51" s="695"/>
      <c r="F51" s="695"/>
      <c r="G51" s="695"/>
      <c r="H51" s="695"/>
      <c r="I51" s="715" t="s">
        <v>885</v>
      </c>
      <c r="J51" s="695"/>
      <c r="K51" s="695"/>
      <c r="L51" s="695"/>
      <c r="M51" s="695"/>
    </row>
    <row r="52" spans="2:13" ht="12.75">
      <c r="B52" s="695"/>
      <c r="C52" s="695"/>
      <c r="D52" s="695"/>
      <c r="E52" s="695"/>
      <c r="F52" s="695"/>
      <c r="G52" s="695"/>
      <c r="H52" s="695"/>
      <c r="I52" s="715" t="s">
        <v>886</v>
      </c>
      <c r="J52" s="695"/>
      <c r="K52" s="695"/>
      <c r="L52" s="695"/>
      <c r="M52" s="695"/>
    </row>
    <row r="53" spans="2:13" ht="12.75">
      <c r="B53" s="695"/>
      <c r="C53" s="695"/>
      <c r="D53" s="695"/>
      <c r="E53" s="695"/>
      <c r="F53" s="695"/>
      <c r="G53" s="695"/>
      <c r="H53" s="695"/>
      <c r="I53" s="715" t="s">
        <v>887</v>
      </c>
      <c r="J53" s="695"/>
      <c r="K53" s="695"/>
      <c r="L53" s="695"/>
      <c r="M53" s="695"/>
    </row>
    <row r="55" s="675" customFormat="1" ht="12.75">
      <c r="A55" s="675" t="s">
        <v>888</v>
      </c>
    </row>
    <row r="56" ht="12.75">
      <c r="A56" t="s">
        <v>889</v>
      </c>
    </row>
    <row r="57" ht="12.75">
      <c r="A57" t="s">
        <v>890</v>
      </c>
    </row>
    <row r="58" ht="12.75">
      <c r="A58" t="s">
        <v>891</v>
      </c>
    </row>
    <row r="59" ht="12.75">
      <c r="A59" t="s">
        <v>892</v>
      </c>
    </row>
    <row r="60" ht="12.75">
      <c r="A60" t="s">
        <v>893</v>
      </c>
    </row>
    <row r="61" ht="12.75">
      <c r="A61" t="s">
        <v>894</v>
      </c>
    </row>
  </sheetData>
  <mergeCells count="5">
    <mergeCell ref="K35:L35"/>
    <mergeCell ref="I39:J39"/>
    <mergeCell ref="B35:C35"/>
    <mergeCell ref="E35:H35"/>
    <mergeCell ref="I35:J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7"/>
  <sheetViews>
    <sheetView tabSelected="1" view="pageBreakPreview" zoomScale="200" zoomScaleSheetLayoutView="200" workbookViewId="0" topLeftCell="AK1">
      <selection activeCell="AL7" sqref="AL7"/>
    </sheetView>
  </sheetViews>
  <sheetFormatPr defaultColWidth="9.140625" defaultRowHeight="12.75"/>
  <cols>
    <col min="1" max="1" width="15.00390625" style="20" bestFit="1" customWidth="1"/>
    <col min="2" max="2" width="14.00390625" style="11" customWidth="1"/>
    <col min="3" max="3" width="12.140625" style="11" customWidth="1"/>
    <col min="4" max="4" width="12.57421875" style="11" customWidth="1"/>
    <col min="5" max="5" width="19.421875" style="11" customWidth="1"/>
    <col min="6" max="6" width="14.28125" style="11" customWidth="1"/>
    <col min="7" max="7" width="9.140625" style="11" customWidth="1"/>
    <col min="8" max="8" width="9.8515625" style="17" customWidth="1"/>
    <col min="9" max="9" width="4.7109375" style="20" customWidth="1"/>
    <col min="10" max="10" width="3.28125" style="11" customWidth="1"/>
    <col min="11" max="11" width="6.00390625" style="11" customWidth="1"/>
    <col min="12" max="12" width="10.00390625" style="11" customWidth="1"/>
    <col min="13" max="14" width="4.57421875" style="11" customWidth="1"/>
    <col min="15" max="15" width="8.00390625" style="11" customWidth="1"/>
    <col min="16" max="16" width="12.421875" style="11" customWidth="1"/>
    <col min="17" max="17" width="6.140625" style="11" customWidth="1"/>
    <col min="18" max="18" width="6.00390625" style="11" customWidth="1"/>
    <col min="19" max="19" width="6.140625" style="11" customWidth="1"/>
    <col min="20" max="20" width="9.7109375" style="11" customWidth="1"/>
    <col min="21" max="21" width="7.421875" style="11" customWidth="1"/>
    <col min="22" max="22" width="11.7109375" style="11" customWidth="1"/>
    <col min="23" max="23" width="8.140625" style="11" customWidth="1"/>
    <col min="24" max="24" width="9.7109375" style="17" customWidth="1"/>
    <col min="25" max="25" width="9.140625" style="16" customWidth="1"/>
    <col min="26" max="26" width="6.28125" style="16" customWidth="1"/>
    <col min="27" max="27" width="6.57421875" style="16" customWidth="1"/>
    <col min="28" max="28" width="11.421875" style="16" customWidth="1"/>
    <col min="29" max="30" width="5.8515625" style="16" customWidth="1"/>
    <col min="31" max="31" width="6.00390625" style="16" customWidth="1"/>
    <col min="32" max="32" width="9.140625" style="16" customWidth="1"/>
    <col min="33" max="33" width="4.57421875" style="16" customWidth="1"/>
    <col min="34" max="34" width="6.28125" style="16" customWidth="1"/>
    <col min="35" max="35" width="4.8515625" style="16" customWidth="1"/>
    <col min="36" max="36" width="5.421875" style="16" bestFit="1" customWidth="1"/>
    <col min="37" max="37" width="5.7109375" style="16" customWidth="1"/>
    <col min="38" max="38" width="6.7109375" style="16" bestFit="1" customWidth="1"/>
    <col min="39" max="39" width="7.57421875" style="16" customWidth="1"/>
    <col min="40" max="40" width="8.421875" style="16" customWidth="1"/>
    <col min="41" max="41" width="9.140625" style="16" customWidth="1"/>
    <col min="42" max="42" width="12.7109375" style="16" customWidth="1"/>
    <col min="43" max="16384" width="9.140625" style="16" customWidth="1"/>
  </cols>
  <sheetData>
    <row r="1" spans="1:45" s="25" customFormat="1" ht="27" thickBot="1">
      <c r="A1" s="599" t="str">
        <f>IF(C22="NPC ONLY -2","NPC ONLY!!"," ")</f>
        <v> </v>
      </c>
      <c r="B1" s="600"/>
      <c r="C1" s="600"/>
      <c r="D1" s="601" t="s">
        <v>65</v>
      </c>
      <c r="E1" s="55"/>
      <c r="F1" s="164" t="s">
        <v>779</v>
      </c>
      <c r="G1" s="165" t="s">
        <v>778</v>
      </c>
      <c r="H1" s="232" t="s">
        <v>777</v>
      </c>
      <c r="I1" s="78"/>
      <c r="J1" s="79"/>
      <c r="K1" s="79"/>
      <c r="L1" s="79"/>
      <c r="M1" s="79"/>
      <c r="N1" s="79"/>
      <c r="O1" s="79"/>
      <c r="P1" s="79"/>
      <c r="Q1" s="203"/>
      <c r="R1" s="203" t="s">
        <v>69</v>
      </c>
      <c r="S1" s="79"/>
      <c r="T1" s="79"/>
      <c r="U1" s="79"/>
      <c r="V1" s="79"/>
      <c r="W1" s="79"/>
      <c r="X1" s="80"/>
      <c r="Y1" s="79"/>
      <c r="Z1" s="79"/>
      <c r="AA1" s="79"/>
      <c r="AB1" s="79" t="s">
        <v>248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0"/>
      <c r="AS1" s="25" t="s">
        <v>302</v>
      </c>
    </row>
    <row r="2" spans="1:40" ht="12" thickBot="1">
      <c r="A2" s="34"/>
      <c r="B2" s="52"/>
      <c r="C2" s="35"/>
      <c r="D2" s="36"/>
      <c r="E2" s="71" t="s">
        <v>775</v>
      </c>
      <c r="F2" s="603"/>
      <c r="G2" s="604"/>
      <c r="H2" s="605"/>
      <c r="I2" s="1" t="s">
        <v>0</v>
      </c>
      <c r="J2" s="3"/>
      <c r="K2" s="3"/>
      <c r="L2" s="3"/>
      <c r="M2" s="144">
        <f>B3</f>
        <v>0</v>
      </c>
      <c r="N2" s="144"/>
      <c r="O2" s="144"/>
      <c r="P2" s="144"/>
      <c r="Q2" s="144"/>
      <c r="R2" s="3" t="s">
        <v>3</v>
      </c>
      <c r="S2" s="3"/>
      <c r="T2" s="3"/>
      <c r="U2" s="144">
        <f>G3</f>
        <v>0</v>
      </c>
      <c r="V2" s="144"/>
      <c r="W2" s="144"/>
      <c r="X2" s="152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87"/>
    </row>
    <row r="3" spans="1:52" s="5" customFormat="1" ht="12.75" customHeight="1" thickBot="1">
      <c r="A3" s="1" t="s">
        <v>0</v>
      </c>
      <c r="B3" s="2"/>
      <c r="C3" s="2"/>
      <c r="D3" s="2"/>
      <c r="E3" s="3" t="s">
        <v>3</v>
      </c>
      <c r="F3" s="3"/>
      <c r="G3" s="2"/>
      <c r="H3" s="4"/>
      <c r="I3" s="6" t="s">
        <v>1</v>
      </c>
      <c r="J3" s="8"/>
      <c r="K3" s="8"/>
      <c r="L3" s="8"/>
      <c r="M3" s="247">
        <f>B4</f>
        <v>0</v>
      </c>
      <c r="N3" s="247"/>
      <c r="O3" s="247"/>
      <c r="P3" s="247"/>
      <c r="Q3" s="247"/>
      <c r="R3" s="8" t="s">
        <v>4</v>
      </c>
      <c r="S3" s="102"/>
      <c r="T3" s="102"/>
      <c r="U3" s="102">
        <f>F4</f>
        <v>0</v>
      </c>
      <c r="V3" s="102"/>
      <c r="W3" s="8" t="s">
        <v>5</v>
      </c>
      <c r="X3" s="612">
        <f>H4</f>
        <v>0</v>
      </c>
      <c r="Y3" s="290" t="s">
        <v>226</v>
      </c>
      <c r="Z3" s="290"/>
      <c r="AA3" s="290"/>
      <c r="AB3" s="290"/>
      <c r="AC3" s="290"/>
      <c r="AD3" s="3"/>
      <c r="AE3" s="278" t="s">
        <v>804</v>
      </c>
      <c r="AF3" s="279">
        <f>AM78</f>
        <v>0</v>
      </c>
      <c r="AG3" s="289" t="s">
        <v>824</v>
      </c>
      <c r="AH3" s="290"/>
      <c r="AI3" s="290"/>
      <c r="AJ3" s="290"/>
      <c r="AK3" s="290"/>
      <c r="AL3" s="290"/>
      <c r="AM3" s="290"/>
      <c r="AN3" s="363"/>
      <c r="AO3" s="27" t="s">
        <v>303</v>
      </c>
      <c r="AP3" s="22"/>
      <c r="AQ3" s="84"/>
      <c r="AR3" s="2"/>
      <c r="AS3" s="84"/>
      <c r="AT3" s="2"/>
      <c r="AU3" s="84"/>
      <c r="AV3" s="2"/>
      <c r="AW3" s="27" t="s">
        <v>310</v>
      </c>
      <c r="AX3" s="2"/>
      <c r="AY3" s="84"/>
      <c r="AZ3" s="4"/>
    </row>
    <row r="4" spans="1:52" s="11" customFormat="1" ht="17.25">
      <c r="A4" s="6" t="s">
        <v>1</v>
      </c>
      <c r="B4" s="7"/>
      <c r="C4" s="7"/>
      <c r="D4" s="7"/>
      <c r="E4" s="8" t="s">
        <v>4</v>
      </c>
      <c r="F4" s="49"/>
      <c r="G4" s="206" t="s">
        <v>5</v>
      </c>
      <c r="H4" s="167"/>
      <c r="I4" s="6" t="s">
        <v>2</v>
      </c>
      <c r="J4" s="8"/>
      <c r="K4" s="8"/>
      <c r="L4" s="8"/>
      <c r="M4" s="102">
        <f>B5</f>
        <v>0</v>
      </c>
      <c r="N4" s="102"/>
      <c r="O4" s="102"/>
      <c r="P4" s="102">
        <f>C5</f>
        <v>0</v>
      </c>
      <c r="Q4" s="247"/>
      <c r="R4" s="102"/>
      <c r="S4" s="102"/>
      <c r="T4" s="102"/>
      <c r="U4" s="102"/>
      <c r="V4" s="23" t="s">
        <v>376</v>
      </c>
      <c r="W4" s="102">
        <f>G5</f>
        <v>0</v>
      </c>
      <c r="X4" s="101"/>
      <c r="Y4" s="121" t="s">
        <v>224</v>
      </c>
      <c r="Z4" s="121"/>
      <c r="AA4" s="121"/>
      <c r="AB4" s="122"/>
      <c r="AC4" s="1" t="s">
        <v>227</v>
      </c>
      <c r="AD4" s="88" t="s">
        <v>207</v>
      </c>
      <c r="AE4" s="88" t="s">
        <v>228</v>
      </c>
      <c r="AF4" s="356" t="s">
        <v>208</v>
      </c>
      <c r="AG4" s="846" t="s">
        <v>234</v>
      </c>
      <c r="AH4" s="847"/>
      <c r="AI4" s="852" t="s">
        <v>245</v>
      </c>
      <c r="AJ4" s="847"/>
      <c r="AK4" s="381" t="s">
        <v>249</v>
      </c>
      <c r="AL4" s="869" t="s">
        <v>896</v>
      </c>
      <c r="AM4" s="381" t="s">
        <v>250</v>
      </c>
      <c r="AN4" s="364" t="s">
        <v>251</v>
      </c>
      <c r="AO4" s="9"/>
      <c r="AP4" s="9"/>
      <c r="AQ4" s="37"/>
      <c r="AR4" s="9"/>
      <c r="AS4" s="37"/>
      <c r="AT4" s="9"/>
      <c r="AU4" s="37"/>
      <c r="AV4" s="9"/>
      <c r="AW4" s="19"/>
      <c r="AX4" s="9"/>
      <c r="AY4" s="37"/>
      <c r="AZ4" s="12"/>
    </row>
    <row r="5" spans="1:52" s="11" customFormat="1" ht="12" thickBot="1">
      <c r="A5" s="6" t="s">
        <v>2</v>
      </c>
      <c r="B5" s="9"/>
      <c r="C5" s="9"/>
      <c r="D5" s="9"/>
      <c r="E5" s="9"/>
      <c r="F5" s="23" t="s">
        <v>376</v>
      </c>
      <c r="G5" s="9"/>
      <c r="H5" s="10"/>
      <c r="I5" s="13"/>
      <c r="J5" s="26"/>
      <c r="K5" s="26"/>
      <c r="L5" s="26"/>
      <c r="M5" s="105"/>
      <c r="N5" s="105"/>
      <c r="O5" s="105"/>
      <c r="P5" s="105"/>
      <c r="Q5" s="105"/>
      <c r="R5" s="105"/>
      <c r="S5" s="105"/>
      <c r="T5" s="105"/>
      <c r="U5" s="104"/>
      <c r="V5" s="8"/>
      <c r="W5" s="8"/>
      <c r="X5" s="99"/>
      <c r="Y5" s="123" t="s">
        <v>225</v>
      </c>
      <c r="Z5" s="123"/>
      <c r="AA5" s="123"/>
      <c r="AB5" s="124"/>
      <c r="AC5" s="372" t="s">
        <v>826</v>
      </c>
      <c r="AD5" s="375" t="s">
        <v>787</v>
      </c>
      <c r="AE5" s="375" t="s">
        <v>827</v>
      </c>
      <c r="AF5" s="357" t="str">
        <f>IF(L77&lt;8,"Rounds","Turns")</f>
        <v>Rounds</v>
      </c>
      <c r="AG5" s="831" t="s">
        <v>235</v>
      </c>
      <c r="AH5" s="832"/>
      <c r="AI5" s="853" t="s">
        <v>246</v>
      </c>
      <c r="AJ5" s="832"/>
      <c r="AK5" s="382" t="s">
        <v>895</v>
      </c>
      <c r="AL5" s="378" t="s">
        <v>252</v>
      </c>
      <c r="AM5" s="382" t="s">
        <v>253</v>
      </c>
      <c r="AN5" s="366" t="s">
        <v>254</v>
      </c>
      <c r="AO5" s="9"/>
      <c r="AP5" s="9"/>
      <c r="AQ5" s="37"/>
      <c r="AR5" s="9"/>
      <c r="AS5" s="37"/>
      <c r="AT5" s="9"/>
      <c r="AU5" s="37"/>
      <c r="AV5" s="9"/>
      <c r="AW5" s="19"/>
      <c r="AX5" s="9"/>
      <c r="AY5" s="37"/>
      <c r="AZ5" s="12"/>
    </row>
    <row r="6" spans="1:52" s="8" customFormat="1" ht="2.25" customHeight="1" thickBot="1">
      <c r="A6" s="13"/>
      <c r="C6" s="26"/>
      <c r="D6" s="26"/>
      <c r="E6" s="26"/>
      <c r="F6" s="26"/>
      <c r="G6" s="26"/>
      <c r="H6" s="30"/>
      <c r="I6" s="291" t="s">
        <v>807</v>
      </c>
      <c r="J6" s="748" t="s">
        <v>783</v>
      </c>
      <c r="K6" s="749" t="s">
        <v>784</v>
      </c>
      <c r="L6" s="1" t="s">
        <v>70</v>
      </c>
      <c r="M6" s="750" t="s">
        <v>785</v>
      </c>
      <c r="N6" s="751"/>
      <c r="O6" s="3"/>
      <c r="P6" s="3"/>
      <c r="Q6" s="752" t="s">
        <v>784</v>
      </c>
      <c r="R6" s="289" t="s">
        <v>71</v>
      </c>
      <c r="S6" s="290"/>
      <c r="T6" s="60" t="s">
        <v>806</v>
      </c>
      <c r="U6" s="288"/>
      <c r="V6" s="27" t="s">
        <v>72</v>
      </c>
      <c r="W6" s="22"/>
      <c r="X6" s="613" t="s">
        <v>834</v>
      </c>
      <c r="Y6" s="26"/>
      <c r="Z6" s="26"/>
      <c r="AA6" s="26"/>
      <c r="AB6" s="30"/>
      <c r="AC6" s="373"/>
      <c r="AD6" s="376"/>
      <c r="AE6" s="376"/>
      <c r="AF6" s="358"/>
      <c r="AG6" s="365"/>
      <c r="AH6" s="378"/>
      <c r="AI6" s="382"/>
      <c r="AJ6" s="378"/>
      <c r="AK6" s="382"/>
      <c r="AL6" s="378"/>
      <c r="AM6" s="382"/>
      <c r="AN6" s="366"/>
      <c r="AO6" s="26"/>
      <c r="AP6" s="26"/>
      <c r="AQ6" s="207"/>
      <c r="AR6" s="26"/>
      <c r="AS6" s="207"/>
      <c r="AT6" s="26"/>
      <c r="AU6" s="207"/>
      <c r="AV6" s="26"/>
      <c r="AW6" s="13"/>
      <c r="AX6" s="26"/>
      <c r="AY6" s="207"/>
      <c r="AZ6" s="30"/>
    </row>
    <row r="7" spans="1:52" ht="12" thickBot="1">
      <c r="A7" s="1" t="s">
        <v>6</v>
      </c>
      <c r="B7" s="535"/>
      <c r="C7" s="3" t="s">
        <v>11</v>
      </c>
      <c r="D7" s="540"/>
      <c r="E7" s="34" t="s">
        <v>13</v>
      </c>
      <c r="F7" s="544"/>
      <c r="G7" s="34" t="s">
        <v>16</v>
      </c>
      <c r="H7" s="545"/>
      <c r="I7" s="756"/>
      <c r="J7" s="759">
        <f>IF(G11&lt;G62,I7-4,IF(G11&lt;G63,I7-2,IF(G11&lt;G64,I7-1,IF(G11&lt;G67,I7,-2))))</f>
        <v>-4</v>
      </c>
      <c r="K7" s="776"/>
      <c r="L7" s="765" t="s">
        <v>73</v>
      </c>
      <c r="M7" s="776">
        <f>J7+K7</f>
        <v>-4</v>
      </c>
      <c r="N7" s="759"/>
      <c r="O7" s="757" t="s">
        <v>83</v>
      </c>
      <c r="P7" s="757"/>
      <c r="Q7" s="770">
        <f>IF(M7&lt;4,-3,IF(M7&lt;6,-2,IF(M7&lt;9,-1,IF(M7&lt;13,0,IF(M7&lt;16,1,IF(M7&lt;18,2,3))))))</f>
        <v>-3</v>
      </c>
      <c r="R7" s="286" t="s">
        <v>87</v>
      </c>
      <c r="S7" s="286"/>
      <c r="T7" s="286"/>
      <c r="U7" s="681"/>
      <c r="V7" s="168" t="str">
        <f>IF(W4="Fighter-Mage","ST+IN",IF(W4="Mage","IN",IF(W4="Cleric","WI",IF(W4="Fighter","ST",IF(W4="Paladin","ST","DX")))))</f>
        <v>DX</v>
      </c>
      <c r="W7" s="783">
        <f>IF(V7="DX",Q11,IF(V7="IN",Q8,IF(V7="WI",Q10,IF(V7="ST+IN",(Q7+Q8)/2,Q7))))</f>
        <v>-3</v>
      </c>
      <c r="X7" s="784">
        <f>IF(W7&lt;-2,-15%,IF(W7=-2,-10%,IF(W7=-1,-5%,IF(W7&lt;=2,5%,IF(W7&gt;=3,10%)))))</f>
        <v>-0.15</v>
      </c>
      <c r="Y7" s="384" t="s">
        <v>825</v>
      </c>
      <c r="Z7" s="385"/>
      <c r="AA7" s="386"/>
      <c r="AB7" s="387" t="s">
        <v>223</v>
      </c>
      <c r="AC7" s="374">
        <f>O72</f>
        <v>-2</v>
      </c>
      <c r="AD7" s="377">
        <f>O73</f>
        <v>-2</v>
      </c>
      <c r="AE7" s="377">
        <f>O74</f>
        <v>-2</v>
      </c>
      <c r="AF7" s="359">
        <f>O76</f>
        <v>-2</v>
      </c>
      <c r="AG7" s="367"/>
      <c r="AH7" s="380"/>
      <c r="AI7" s="854" t="s">
        <v>247</v>
      </c>
      <c r="AJ7" s="855"/>
      <c r="AK7" s="383" t="s">
        <v>255</v>
      </c>
      <c r="AL7" s="379" t="s">
        <v>256</v>
      </c>
      <c r="AM7" s="383" t="s">
        <v>257</v>
      </c>
      <c r="AN7" s="368"/>
      <c r="AO7" s="22" t="s">
        <v>304</v>
      </c>
      <c r="AP7" s="22"/>
      <c r="AQ7" s="84"/>
      <c r="AR7" s="2"/>
      <c r="AS7" s="84"/>
      <c r="AT7" s="2"/>
      <c r="AU7" s="84"/>
      <c r="AV7" s="2"/>
      <c r="AW7" s="84"/>
      <c r="AX7" s="2"/>
      <c r="AY7" s="84"/>
      <c r="AZ7" s="4"/>
    </row>
    <row r="8" spans="1:52" ht="12" thickBot="1">
      <c r="A8" s="6" t="s">
        <v>7</v>
      </c>
      <c r="B8" s="535"/>
      <c r="C8" s="8" t="s">
        <v>12</v>
      </c>
      <c r="D8" s="540"/>
      <c r="E8" s="542"/>
      <c r="F8" s="6" t="s">
        <v>17</v>
      </c>
      <c r="G8" s="540"/>
      <c r="H8" s="540"/>
      <c r="I8" s="743"/>
      <c r="J8" s="760">
        <f>IF(G11&gt;G66,I9+1,I9)</f>
        <v>0</v>
      </c>
      <c r="K8" s="777"/>
      <c r="L8" s="766" t="s">
        <v>74</v>
      </c>
      <c r="M8" s="777">
        <f>J8+K9</f>
        <v>0</v>
      </c>
      <c r="N8" s="760"/>
      <c r="O8" s="754" t="s">
        <v>80</v>
      </c>
      <c r="P8" s="754"/>
      <c r="Q8" s="771">
        <f>IF(M8&lt;4,-3,IF(M8&lt;6,-2,IF(M8&lt;9,-1,IF(M8&lt;13,0,IF(M8&lt;16,1,IF(M8&lt;18,2,3))))))</f>
        <v>-3</v>
      </c>
      <c r="R8" s="150"/>
      <c r="S8" s="90" t="s">
        <v>88</v>
      </c>
      <c r="T8" s="90"/>
      <c r="U8" s="721">
        <f>IF(R8-U7-Q10&lt;=2,2,R8-U7-Q10)</f>
        <v>3</v>
      </c>
      <c r="V8" s="614"/>
      <c r="W8" s="149"/>
      <c r="X8" s="192"/>
      <c r="Y8" s="266" t="s">
        <v>213</v>
      </c>
      <c r="Z8" s="276">
        <v>0</v>
      </c>
      <c r="AA8" s="276">
        <f>400+(Q7*100)</f>
        <v>100</v>
      </c>
      <c r="AB8" s="269" t="s">
        <v>219</v>
      </c>
      <c r="AC8" s="266">
        <v>40</v>
      </c>
      <c r="AD8" s="271">
        <v>80</v>
      </c>
      <c r="AE8" s="271">
        <v>120</v>
      </c>
      <c r="AF8" s="362">
        <f>IF(L77&lt;8,M12/2,O77)</f>
        <v>-1</v>
      </c>
      <c r="AG8" s="266">
        <v>36</v>
      </c>
      <c r="AH8" s="280" t="s">
        <v>236</v>
      </c>
      <c r="AI8" s="273">
        <v>24</v>
      </c>
      <c r="AJ8" s="282" t="s">
        <v>242</v>
      </c>
      <c r="AK8" s="273">
        <v>16</v>
      </c>
      <c r="AL8" s="282" t="s">
        <v>258</v>
      </c>
      <c r="AM8" s="273">
        <v>12</v>
      </c>
      <c r="AN8" s="283" t="s">
        <v>238</v>
      </c>
      <c r="AO8" s="9"/>
      <c r="AP8" s="9"/>
      <c r="AQ8" s="37"/>
      <c r="AR8" s="9"/>
      <c r="AS8" s="37"/>
      <c r="AT8" s="9"/>
      <c r="AU8" s="37"/>
      <c r="AV8" s="9"/>
      <c r="AW8" s="37"/>
      <c r="AX8" s="9"/>
      <c r="AY8" s="37"/>
      <c r="AZ8" s="12"/>
    </row>
    <row r="9" spans="1:52" s="11" customFormat="1" ht="2.25" customHeight="1" thickBot="1">
      <c r="A9" s="6"/>
      <c r="B9" s="535"/>
      <c r="C9" s="8"/>
      <c r="D9" s="541"/>
      <c r="E9" s="543"/>
      <c r="F9" s="13"/>
      <c r="G9" s="128"/>
      <c r="H9" s="128"/>
      <c r="I9" s="744"/>
      <c r="J9" s="761"/>
      <c r="K9" s="779"/>
      <c r="L9" s="767" t="s">
        <v>74</v>
      </c>
      <c r="M9" s="778"/>
      <c r="N9" s="762"/>
      <c r="O9" s="755"/>
      <c r="P9" s="753"/>
      <c r="Q9" s="772"/>
      <c r="R9" s="733"/>
      <c r="S9" s="90"/>
      <c r="T9" s="90"/>
      <c r="U9" s="721"/>
      <c r="V9" s="45" t="s">
        <v>93</v>
      </c>
      <c r="W9" s="3"/>
      <c r="X9" s="3"/>
      <c r="Y9" s="266"/>
      <c r="Z9" s="276"/>
      <c r="AA9" s="276"/>
      <c r="AB9" s="269"/>
      <c r="AC9" s="266"/>
      <c r="AD9" s="271"/>
      <c r="AE9" s="271"/>
      <c r="AF9" s="360"/>
      <c r="AG9" s="266"/>
      <c r="AH9" s="280"/>
      <c r="AI9" s="271"/>
      <c r="AJ9" s="280"/>
      <c r="AK9" s="271"/>
      <c r="AL9" s="280"/>
      <c r="AM9" s="271"/>
      <c r="AN9" s="284"/>
      <c r="AQ9" s="70"/>
      <c r="AS9" s="70"/>
      <c r="AU9" s="70"/>
      <c r="AW9" s="70"/>
      <c r="AY9" s="70"/>
      <c r="AZ9" s="17"/>
    </row>
    <row r="10" spans="1:52" ht="12" thickBot="1">
      <c r="A10" s="6" t="s">
        <v>10</v>
      </c>
      <c r="B10" s="536"/>
      <c r="C10" s="8" t="s">
        <v>14</v>
      </c>
      <c r="D10" s="541"/>
      <c r="E10" s="541"/>
      <c r="F10" s="1" t="s">
        <v>24</v>
      </c>
      <c r="G10" s="3"/>
      <c r="H10" s="3"/>
      <c r="I10" s="744"/>
      <c r="J10" s="762">
        <f>IF(G11&lt;G62,I10-2,IF(G11&lt;G64,I10-1,IF(G11&lt;G67,I10,1)))</f>
        <v>-2</v>
      </c>
      <c r="K10" s="779"/>
      <c r="L10" s="767" t="s">
        <v>75</v>
      </c>
      <c r="M10" s="779">
        <f aca="true" t="shared" si="0" ref="M10:M15">J10+K10</f>
        <v>-2</v>
      </c>
      <c r="N10" s="762"/>
      <c r="O10" s="753" t="s">
        <v>81</v>
      </c>
      <c r="P10" s="753"/>
      <c r="Q10" s="773">
        <f aca="true" t="shared" si="1" ref="Q10:Q15">IF(M10&lt;4,-3,IF(M10&lt;6,-2,IF(M10&lt;9,-1,IF(M10&lt;13,0,IF(M10&lt;16,1,IF(M10&lt;18,2,3))))))</f>
        <v>-3</v>
      </c>
      <c r="R10" s="733"/>
      <c r="S10" s="90" t="s">
        <v>89</v>
      </c>
      <c r="T10" s="90"/>
      <c r="U10" s="721">
        <f>IF(R10-U7-Q10&lt;=2,2,R10-U7-Q10)</f>
        <v>3</v>
      </c>
      <c r="V10" s="21">
        <v>840000</v>
      </c>
      <c r="W10" s="14"/>
      <c r="X10" s="14"/>
      <c r="Y10" s="266" t="s">
        <v>214</v>
      </c>
      <c r="Z10" s="276">
        <f>AA8+1</f>
        <v>101</v>
      </c>
      <c r="AA10" s="276">
        <f>AA8+400</f>
        <v>500</v>
      </c>
      <c r="AB10" s="269" t="s">
        <v>219</v>
      </c>
      <c r="AC10" s="266">
        <v>30</v>
      </c>
      <c r="AD10" s="271">
        <v>60</v>
      </c>
      <c r="AE10" s="271">
        <v>90</v>
      </c>
      <c r="AF10" s="360" t="s">
        <v>229</v>
      </c>
      <c r="AG10" s="266">
        <v>27</v>
      </c>
      <c r="AH10" s="280" t="s">
        <v>237</v>
      </c>
      <c r="AI10" s="271">
        <v>18</v>
      </c>
      <c r="AJ10" s="280" t="s">
        <v>239</v>
      </c>
      <c r="AK10" s="271">
        <v>12</v>
      </c>
      <c r="AL10" s="280" t="s">
        <v>238</v>
      </c>
      <c r="AM10" s="271">
        <v>9</v>
      </c>
      <c r="AN10" s="284" t="s">
        <v>240</v>
      </c>
      <c r="AO10" s="9"/>
      <c r="AP10" s="9"/>
      <c r="AQ10" s="37"/>
      <c r="AR10" s="9"/>
      <c r="AS10" s="37"/>
      <c r="AT10" s="9"/>
      <c r="AU10" s="37"/>
      <c r="AV10" s="9"/>
      <c r="AW10" s="37"/>
      <c r="AX10" s="9"/>
      <c r="AY10" s="37"/>
      <c r="AZ10" s="12"/>
    </row>
    <row r="11" spans="1:52" ht="12" thickBot="1">
      <c r="A11" s="34" t="s">
        <v>8</v>
      </c>
      <c r="B11" s="537"/>
      <c r="C11" s="539"/>
      <c r="D11" s="537"/>
      <c r="E11" s="36" t="s">
        <v>774</v>
      </c>
      <c r="F11" s="231" t="s">
        <v>776</v>
      </c>
      <c r="G11" s="230">
        <f>H2-D11</f>
        <v>0</v>
      </c>
      <c r="H11" s="243"/>
      <c r="I11" s="744"/>
      <c r="J11" s="762">
        <f>IF(G11&lt;G62,I11-1,IF(G11&gt;G66,I11-1,I11))</f>
        <v>-1</v>
      </c>
      <c r="K11" s="779"/>
      <c r="L11" s="767" t="s">
        <v>76</v>
      </c>
      <c r="M11" s="779">
        <f t="shared" si="0"/>
        <v>-1</v>
      </c>
      <c r="N11" s="762"/>
      <c r="O11" s="753" t="s">
        <v>82</v>
      </c>
      <c r="P11" s="753"/>
      <c r="Q11" s="773">
        <f t="shared" si="1"/>
        <v>-3</v>
      </c>
      <c r="R11" s="733"/>
      <c r="S11" s="91" t="s">
        <v>92</v>
      </c>
      <c r="T11" s="90"/>
      <c r="U11" s="721">
        <f>IF(R11-U7-Q10&lt;=2,2,R11-U7-Q10)</f>
        <v>3</v>
      </c>
      <c r="V11" s="6" t="s">
        <v>94</v>
      </c>
      <c r="W11" s="9"/>
      <c r="X11" s="9"/>
      <c r="Y11" s="266" t="s">
        <v>215</v>
      </c>
      <c r="Z11" s="276">
        <f>Z10+400</f>
        <v>501</v>
      </c>
      <c r="AA11" s="276">
        <f>AA10+400</f>
        <v>900</v>
      </c>
      <c r="AB11" s="269" t="s">
        <v>220</v>
      </c>
      <c r="AC11" s="266">
        <v>20</v>
      </c>
      <c r="AD11" s="271">
        <v>40</v>
      </c>
      <c r="AE11" s="271">
        <v>80</v>
      </c>
      <c r="AF11" s="360" t="s">
        <v>230</v>
      </c>
      <c r="AG11" s="266">
        <v>18</v>
      </c>
      <c r="AH11" s="280" t="s">
        <v>239</v>
      </c>
      <c r="AI11" s="271">
        <v>12</v>
      </c>
      <c r="AJ11" s="280" t="s">
        <v>238</v>
      </c>
      <c r="AK11" s="271">
        <v>8</v>
      </c>
      <c r="AL11" s="280" t="s">
        <v>259</v>
      </c>
      <c r="AM11" s="271">
        <v>2.66</v>
      </c>
      <c r="AN11" s="284" t="s">
        <v>262</v>
      </c>
      <c r="AO11" s="7"/>
      <c r="AP11" s="7"/>
      <c r="AQ11" s="38"/>
      <c r="AR11" s="7"/>
      <c r="AS11" s="38"/>
      <c r="AT11" s="7"/>
      <c r="AU11" s="38"/>
      <c r="AV11" s="7"/>
      <c r="AW11" s="38"/>
      <c r="AX11" s="7"/>
      <c r="AY11" s="38"/>
      <c r="AZ11" s="10"/>
    </row>
    <row r="12" spans="1:52" s="11" customFormat="1" ht="11.25">
      <c r="A12" s="6" t="s">
        <v>9</v>
      </c>
      <c r="B12" s="538"/>
      <c r="C12" s="6" t="s">
        <v>15</v>
      </c>
      <c r="D12" s="540"/>
      <c r="E12" s="540"/>
      <c r="F12" s="547"/>
      <c r="G12" s="540"/>
      <c r="H12" s="540"/>
      <c r="I12" s="745"/>
      <c r="J12" s="763">
        <f>IF(G11&lt;G63,I13-2,IF(G11&lt;G65,I13-1,IF(G11&lt;G66,I13,IF(G11&lt;G67,I13-1,I13-2))))</f>
        <v>-2</v>
      </c>
      <c r="K12" s="780"/>
      <c r="L12" s="768" t="s">
        <v>77</v>
      </c>
      <c r="M12" s="780">
        <f>J12+K13</f>
        <v>-2</v>
      </c>
      <c r="N12" s="763"/>
      <c r="O12" s="244" t="s">
        <v>84</v>
      </c>
      <c r="P12" s="244"/>
      <c r="Q12" s="774">
        <f>IF(M12&lt;4,-3,IF(M12&lt;6,-2,IF(M12&lt;9,-1,IF(M12&lt;13,0,IF(M12&lt;16,1,IF(M12&lt;18,2,3))))))</f>
        <v>-3</v>
      </c>
      <c r="R12" s="746"/>
      <c r="S12" s="90" t="s">
        <v>90</v>
      </c>
      <c r="T12" s="90"/>
      <c r="U12" s="721">
        <f>IF(R12-U7-Q10&lt;=2,2,R12-U7-Q10)</f>
        <v>3</v>
      </c>
      <c r="V12" s="20"/>
      <c r="Y12" s="266" t="s">
        <v>216</v>
      </c>
      <c r="Z12" s="276">
        <f>Z11+400</f>
        <v>901</v>
      </c>
      <c r="AA12" s="276">
        <f>AA11+800</f>
        <v>1700</v>
      </c>
      <c r="AB12" s="269" t="s">
        <v>221</v>
      </c>
      <c r="AC12" s="266">
        <v>10</v>
      </c>
      <c r="AD12" s="271">
        <v>20</v>
      </c>
      <c r="AE12" s="271">
        <v>40</v>
      </c>
      <c r="AF12" s="360" t="s">
        <v>231</v>
      </c>
      <c r="AG12" s="266">
        <v>9</v>
      </c>
      <c r="AH12" s="280" t="s">
        <v>240</v>
      </c>
      <c r="AI12" s="271">
        <v>6</v>
      </c>
      <c r="AJ12" s="280" t="s">
        <v>243</v>
      </c>
      <c r="AK12" s="271">
        <v>4</v>
      </c>
      <c r="AL12" s="280" t="s">
        <v>260</v>
      </c>
      <c r="AM12" s="271">
        <v>1.33</v>
      </c>
      <c r="AN12" s="284" t="s">
        <v>263</v>
      </c>
      <c r="AQ12" s="70"/>
      <c r="AS12" s="70"/>
      <c r="AU12" s="70"/>
      <c r="AW12" s="70"/>
      <c r="AY12" s="70"/>
      <c r="AZ12" s="17"/>
    </row>
    <row r="13" spans="1:52" ht="2.25" customHeight="1" thickBot="1">
      <c r="A13" s="13"/>
      <c r="B13" s="551"/>
      <c r="C13" s="13"/>
      <c r="D13" s="541"/>
      <c r="E13" s="551"/>
      <c r="F13" s="552"/>
      <c r="G13" s="541"/>
      <c r="H13" s="541"/>
      <c r="I13" s="744"/>
      <c r="J13" s="761"/>
      <c r="K13" s="779"/>
      <c r="L13" s="782"/>
      <c r="M13" s="778"/>
      <c r="N13" s="762"/>
      <c r="O13" s="755"/>
      <c r="P13" s="753"/>
      <c r="Q13" s="772"/>
      <c r="R13" s="733"/>
      <c r="S13" s="90"/>
      <c r="T13" s="90"/>
      <c r="U13" s="90"/>
      <c r="V13" s="19">
        <v>721009</v>
      </c>
      <c r="W13" s="9"/>
      <c r="X13" s="9"/>
      <c r="Y13" s="266"/>
      <c r="Z13" s="276"/>
      <c r="AA13" s="276"/>
      <c r="AB13" s="269"/>
      <c r="AC13" s="266">
        <v>0</v>
      </c>
      <c r="AD13" s="271"/>
      <c r="AE13" s="271"/>
      <c r="AF13" s="360"/>
      <c r="AG13" s="266"/>
      <c r="AH13" s="280"/>
      <c r="AI13" s="271"/>
      <c r="AJ13" s="280"/>
      <c r="AK13" s="271"/>
      <c r="AL13" s="280"/>
      <c r="AM13" s="271"/>
      <c r="AN13" s="284"/>
      <c r="AO13" s="11"/>
      <c r="AP13" s="11"/>
      <c r="AQ13" s="70"/>
      <c r="AR13" s="11"/>
      <c r="AS13" s="70"/>
      <c r="AT13" s="11"/>
      <c r="AU13" s="70"/>
      <c r="AV13" s="11"/>
      <c r="AW13" s="70"/>
      <c r="AX13" s="11"/>
      <c r="AY13" s="70"/>
      <c r="AZ13" s="17"/>
    </row>
    <row r="14" spans="1:52" ht="12" thickBot="1">
      <c r="A14" s="1" t="s">
        <v>20</v>
      </c>
      <c r="B14" s="546"/>
      <c r="C14" s="1" t="s">
        <v>96</v>
      </c>
      <c r="D14" s="546"/>
      <c r="E14" s="546"/>
      <c r="F14" s="547"/>
      <c r="G14" s="540"/>
      <c r="H14" s="540"/>
      <c r="I14" s="744"/>
      <c r="J14" s="762">
        <f>IF(G11&gt;G67,I14-2,I14)</f>
        <v>0</v>
      </c>
      <c r="K14" s="779"/>
      <c r="L14" s="767" t="s">
        <v>78</v>
      </c>
      <c r="M14" s="779">
        <f t="shared" si="0"/>
        <v>0</v>
      </c>
      <c r="N14" s="762"/>
      <c r="O14" s="753" t="s">
        <v>85</v>
      </c>
      <c r="P14" s="753"/>
      <c r="Q14" s="773">
        <f t="shared" si="1"/>
        <v>-3</v>
      </c>
      <c r="R14" s="747"/>
      <c r="S14" s="287" t="s">
        <v>91</v>
      </c>
      <c r="T14" s="287"/>
      <c r="U14" s="722">
        <f>IF(R14-U7-Q10&lt;=2,2,R14-U7-Q10)</f>
        <v>3</v>
      </c>
      <c r="V14" s="19"/>
      <c r="W14" s="9"/>
      <c r="X14" s="9"/>
      <c r="Y14" s="266" t="s">
        <v>217</v>
      </c>
      <c r="Z14" s="276">
        <f>Z12+800</f>
        <v>1701</v>
      </c>
      <c r="AA14" s="276">
        <f>AA12+400</f>
        <v>2100</v>
      </c>
      <c r="AB14" s="269" t="s">
        <v>222</v>
      </c>
      <c r="AC14" s="266">
        <v>5</v>
      </c>
      <c r="AD14" s="271">
        <v>10</v>
      </c>
      <c r="AE14" s="271">
        <v>20</v>
      </c>
      <c r="AF14" s="360" t="s">
        <v>232</v>
      </c>
      <c r="AG14" s="266">
        <v>4.5</v>
      </c>
      <c r="AH14" s="280" t="s">
        <v>241</v>
      </c>
      <c r="AI14" s="271">
        <v>3</v>
      </c>
      <c r="AJ14" s="280" t="s">
        <v>244</v>
      </c>
      <c r="AK14" s="271">
        <v>2</v>
      </c>
      <c r="AL14" s="280" t="s">
        <v>261</v>
      </c>
      <c r="AM14" s="271">
        <v>1</v>
      </c>
      <c r="AN14" s="284" t="s">
        <v>264</v>
      </c>
      <c r="AO14" s="3" t="s">
        <v>307</v>
      </c>
      <c r="AP14" s="3"/>
      <c r="AQ14" s="84"/>
      <c r="AR14" s="2"/>
      <c r="AS14" s="84"/>
      <c r="AT14" s="2"/>
      <c r="AU14" s="84"/>
      <c r="AV14" s="2"/>
      <c r="AW14" s="84"/>
      <c r="AX14" s="2"/>
      <c r="AY14" s="84"/>
      <c r="AZ14" s="4"/>
    </row>
    <row r="15" spans="1:52" ht="12" thickBot="1">
      <c r="A15" s="6" t="s">
        <v>18</v>
      </c>
      <c r="B15" s="540"/>
      <c r="C15" s="6" t="s">
        <v>22</v>
      </c>
      <c r="D15" s="548"/>
      <c r="E15" s="540"/>
      <c r="F15" s="547"/>
      <c r="G15" s="540"/>
      <c r="H15" s="540"/>
      <c r="I15" s="758"/>
      <c r="J15" s="764">
        <f>IF(G11&lt;G62,I15+4,IF(G11&lt;G63,I15+2,IF(G11&lt;G64,I15+1,IF(G11&lt;G66,I15,IF(G11&lt;G67,I15-1,I15-4)))))</f>
        <v>4</v>
      </c>
      <c r="K15" s="781"/>
      <c r="L15" s="769" t="s">
        <v>79</v>
      </c>
      <c r="M15" s="781">
        <f t="shared" si="0"/>
        <v>4</v>
      </c>
      <c r="N15" s="764"/>
      <c r="O15" s="245" t="s">
        <v>86</v>
      </c>
      <c r="P15" s="245"/>
      <c r="Q15" s="775">
        <f t="shared" si="1"/>
        <v>-2</v>
      </c>
      <c r="R15" s="840" t="s">
        <v>319</v>
      </c>
      <c r="S15" s="841"/>
      <c r="T15" s="723">
        <f>(M8+M10)/2</f>
        <v>-1</v>
      </c>
      <c r="U15" s="724" t="s">
        <v>805</v>
      </c>
      <c r="V15" s="21"/>
      <c r="W15" s="14"/>
      <c r="X15" s="15"/>
      <c r="Y15" s="267" t="s">
        <v>218</v>
      </c>
      <c r="Z15" s="268">
        <f>AA14+1</f>
        <v>2101</v>
      </c>
      <c r="AA15" s="277" t="s">
        <v>803</v>
      </c>
      <c r="AB15" s="270" t="s">
        <v>222</v>
      </c>
      <c r="AC15" s="267">
        <v>0</v>
      </c>
      <c r="AD15" s="272">
        <v>0</v>
      </c>
      <c r="AE15" s="272">
        <v>0</v>
      </c>
      <c r="AF15" s="361" t="s">
        <v>233</v>
      </c>
      <c r="AG15" s="267">
        <v>0</v>
      </c>
      <c r="AH15" s="281">
        <v>0</v>
      </c>
      <c r="AI15" s="272">
        <v>0</v>
      </c>
      <c r="AJ15" s="281">
        <v>0</v>
      </c>
      <c r="AK15" s="272">
        <v>0</v>
      </c>
      <c r="AL15" s="281">
        <v>0</v>
      </c>
      <c r="AM15" s="272">
        <v>0</v>
      </c>
      <c r="AN15" s="285">
        <v>0</v>
      </c>
      <c r="AO15" s="9"/>
      <c r="AP15" s="9"/>
      <c r="AQ15" s="37"/>
      <c r="AR15" s="9"/>
      <c r="AS15" s="37"/>
      <c r="AT15" s="9"/>
      <c r="AU15" s="37"/>
      <c r="AV15" s="9"/>
      <c r="AW15" s="37"/>
      <c r="AX15" s="9"/>
      <c r="AY15" s="37"/>
      <c r="AZ15" s="12"/>
    </row>
    <row r="16" spans="1:52" ht="13.5" customHeight="1" thickBot="1">
      <c r="A16" s="6" t="s">
        <v>19</v>
      </c>
      <c r="B16" s="540"/>
      <c r="C16" s="57" t="s">
        <v>97</v>
      </c>
      <c r="D16" s="548"/>
      <c r="E16" s="540"/>
      <c r="F16" s="547"/>
      <c r="G16" s="540"/>
      <c r="H16" s="540"/>
      <c r="I16" s="159" t="s">
        <v>828</v>
      </c>
      <c r="J16" s="159"/>
      <c r="K16" s="159"/>
      <c r="L16" s="159"/>
      <c r="M16" s="292">
        <v>8</v>
      </c>
      <c r="N16" s="299"/>
      <c r="O16" s="842" t="s">
        <v>829</v>
      </c>
      <c r="P16" s="843"/>
      <c r="Q16" s="842" t="s">
        <v>830</v>
      </c>
      <c r="R16" s="844"/>
      <c r="S16" s="845"/>
      <c r="T16" s="665" t="s">
        <v>120</v>
      </c>
      <c r="U16" s="666">
        <f>1+Q7</f>
        <v>-2</v>
      </c>
      <c r="V16" s="96"/>
      <c r="W16" s="258" t="s">
        <v>808</v>
      </c>
      <c r="X16" s="393">
        <f>I20+I22+I25+I28+I30+I32</f>
        <v>0</v>
      </c>
      <c r="Y16" s="369" t="s">
        <v>265</v>
      </c>
      <c r="Z16" s="369"/>
      <c r="AA16" s="369" t="s">
        <v>266</v>
      </c>
      <c r="AB16" s="369"/>
      <c r="AC16" s="370" t="s">
        <v>267</v>
      </c>
      <c r="AD16" s="370" t="s">
        <v>124</v>
      </c>
      <c r="AE16" s="370" t="s">
        <v>268</v>
      </c>
      <c r="AF16" s="371" t="s">
        <v>126</v>
      </c>
      <c r="AG16" s="848" t="s">
        <v>269</v>
      </c>
      <c r="AH16" s="849"/>
      <c r="AI16" s="850" t="s">
        <v>270</v>
      </c>
      <c r="AJ16" s="851"/>
      <c r="AK16" s="850" t="s">
        <v>271</v>
      </c>
      <c r="AL16" s="851"/>
      <c r="AM16" s="850" t="s">
        <v>272</v>
      </c>
      <c r="AN16" s="856"/>
      <c r="AO16" s="19"/>
      <c r="AP16" s="9"/>
      <c r="AQ16" s="37"/>
      <c r="AR16" s="9"/>
      <c r="AS16" s="37"/>
      <c r="AT16" s="9"/>
      <c r="AU16" s="37"/>
      <c r="AV16" s="9"/>
      <c r="AW16" s="37"/>
      <c r="AX16" s="9"/>
      <c r="AY16" s="37"/>
      <c r="AZ16" s="12"/>
    </row>
    <row r="17" spans="1:52" ht="13.5" customHeight="1" thickBot="1">
      <c r="A17" s="6" t="s">
        <v>21</v>
      </c>
      <c r="B17" s="540"/>
      <c r="C17" s="6" t="s">
        <v>23</v>
      </c>
      <c r="D17" s="548"/>
      <c r="E17" s="540"/>
      <c r="F17" s="549"/>
      <c r="G17" s="548"/>
      <c r="H17" s="550"/>
      <c r="I17" s="1" t="s">
        <v>127</v>
      </c>
      <c r="J17" s="3"/>
      <c r="K17" s="3"/>
      <c r="L17" s="3"/>
      <c r="M17" s="55" t="s">
        <v>119</v>
      </c>
      <c r="N17" s="302" t="s">
        <v>812</v>
      </c>
      <c r="O17" s="293" t="s">
        <v>125</v>
      </c>
      <c r="P17" s="302" t="s">
        <v>126</v>
      </c>
      <c r="Q17" s="42" t="s">
        <v>124</v>
      </c>
      <c r="R17" s="56">
        <v>0</v>
      </c>
      <c r="S17" s="43">
        <v>-1</v>
      </c>
      <c r="T17" s="315" t="s">
        <v>121</v>
      </c>
      <c r="U17" s="56" t="s">
        <v>814</v>
      </c>
      <c r="V17" s="3" t="s">
        <v>815</v>
      </c>
      <c r="W17" s="18" t="s">
        <v>816</v>
      </c>
      <c r="X17" s="316"/>
      <c r="Y17" s="857" t="s">
        <v>273</v>
      </c>
      <c r="Z17" s="858"/>
      <c r="AA17" s="858"/>
      <c r="AB17" s="859"/>
      <c r="AC17" s="857" t="s">
        <v>276</v>
      </c>
      <c r="AD17" s="858"/>
      <c r="AE17" s="859"/>
      <c r="AF17" s="857" t="s">
        <v>284</v>
      </c>
      <c r="AG17" s="858"/>
      <c r="AH17" s="858"/>
      <c r="AI17" s="859"/>
      <c r="AJ17" s="857" t="s">
        <v>284</v>
      </c>
      <c r="AK17" s="858"/>
      <c r="AL17" s="858"/>
      <c r="AM17" s="858"/>
      <c r="AN17" s="859"/>
      <c r="AO17" s="19"/>
      <c r="AP17" s="9"/>
      <c r="AQ17" s="37"/>
      <c r="AR17" s="9"/>
      <c r="AS17" s="37"/>
      <c r="AT17" s="9"/>
      <c r="AU17" s="37"/>
      <c r="AV17" s="9"/>
      <c r="AW17" s="37"/>
      <c r="AX17" s="9"/>
      <c r="AY17" s="37"/>
      <c r="AZ17" s="12"/>
    </row>
    <row r="18" spans="1:52" ht="2.25" customHeight="1" thickBot="1">
      <c r="A18" s="13"/>
      <c r="B18" s="551"/>
      <c r="C18" s="13"/>
      <c r="D18" s="541"/>
      <c r="E18" s="551"/>
      <c r="F18" s="553"/>
      <c r="G18" s="551"/>
      <c r="H18" s="554"/>
      <c r="I18" s="1"/>
      <c r="J18" s="3"/>
      <c r="K18" s="3"/>
      <c r="L18" s="3"/>
      <c r="M18" s="1"/>
      <c r="N18" s="302"/>
      <c r="O18" s="293"/>
      <c r="P18" s="302"/>
      <c r="Q18" s="42"/>
      <c r="R18" s="56"/>
      <c r="S18" s="43"/>
      <c r="T18" s="315"/>
      <c r="U18" s="56"/>
      <c r="V18" s="3"/>
      <c r="W18" s="18"/>
      <c r="X18" s="316"/>
      <c r="Y18" s="77"/>
      <c r="Z18" s="77"/>
      <c r="AA18" s="77"/>
      <c r="AB18" s="157"/>
      <c r="AC18" s="389"/>
      <c r="AD18" s="388"/>
      <c r="AE18" s="390"/>
      <c r="AF18" s="76"/>
      <c r="AG18" s="77"/>
      <c r="AH18" s="77"/>
      <c r="AI18" s="158"/>
      <c r="AJ18" s="76"/>
      <c r="AK18" s="77"/>
      <c r="AL18" s="77"/>
      <c r="AM18" s="77"/>
      <c r="AN18" s="158"/>
      <c r="AO18" s="21"/>
      <c r="AP18" s="14"/>
      <c r="AQ18" s="85"/>
      <c r="AR18" s="14"/>
      <c r="AS18" s="85"/>
      <c r="AT18" s="14"/>
      <c r="AU18" s="85"/>
      <c r="AV18" s="14"/>
      <c r="AW18" s="85"/>
      <c r="AX18" s="14"/>
      <c r="AY18" s="85"/>
      <c r="AZ18" s="15"/>
    </row>
    <row r="19" spans="1:52" ht="11.25">
      <c r="A19" s="1" t="s">
        <v>29</v>
      </c>
      <c r="B19" s="546"/>
      <c r="C19" s="88" t="s">
        <v>30</v>
      </c>
      <c r="D19" s="557"/>
      <c r="E19" s="1" t="s">
        <v>33</v>
      </c>
      <c r="F19" s="546"/>
      <c r="G19" s="546"/>
      <c r="H19" s="557"/>
      <c r="I19" s="322"/>
      <c r="J19" s="624"/>
      <c r="K19" s="615"/>
      <c r="L19" s="615"/>
      <c r="M19" s="804"/>
      <c r="N19" s="801">
        <f>IF(M19="SK",M16-2,IF(M19="XP",M16-3,IF(M19="MS",M16-4,IF(M19="GM",M16-5,IF(M19="BS",M16,0)))))</f>
        <v>0</v>
      </c>
      <c r="O19" s="303">
        <f>IF(I19="M","No Melee",IF(N19=0,0,N19-I20-Q7))</f>
        <v>0</v>
      </c>
      <c r="P19" s="177">
        <f>IF(I19="M","No Melee",IF(N19=0,0,N19-J20-Q7))</f>
        <v>0</v>
      </c>
      <c r="Q19" s="659"/>
      <c r="R19" s="660"/>
      <c r="S19" s="661"/>
      <c r="T19" s="662"/>
      <c r="U19" s="166">
        <f>IF(I19="M",I20,I20+Q7)</f>
        <v>-3</v>
      </c>
      <c r="V19" s="303">
        <f>U19+J20</f>
        <v>-3</v>
      </c>
      <c r="W19" s="317">
        <f>L20</f>
        <v>0</v>
      </c>
      <c r="X19" s="317"/>
      <c r="Y19" s="107">
        <f>J19</f>
        <v>0</v>
      </c>
      <c r="Z19" s="92"/>
      <c r="AA19" s="92"/>
      <c r="AB19" s="177"/>
      <c r="AC19" s="42" t="s">
        <v>277</v>
      </c>
      <c r="AD19" s="3"/>
      <c r="AE19" s="217"/>
      <c r="AF19" s="129"/>
      <c r="AG19" s="130"/>
      <c r="AH19" s="130"/>
      <c r="AI19" s="222"/>
      <c r="AJ19" s="129"/>
      <c r="AK19" s="130"/>
      <c r="AL19" s="130"/>
      <c r="AM19" s="130"/>
      <c r="AN19" s="222"/>
      <c r="AO19" s="1" t="s">
        <v>305</v>
      </c>
      <c r="AP19" s="3"/>
      <c r="AQ19" s="84"/>
      <c r="AR19" s="2"/>
      <c r="AS19" s="84"/>
      <c r="AT19" s="2"/>
      <c r="AU19" s="84"/>
      <c r="AV19" s="2"/>
      <c r="AW19" s="84"/>
      <c r="AX19" s="2"/>
      <c r="AY19" s="84"/>
      <c r="AZ19" s="4"/>
    </row>
    <row r="20" spans="1:52" ht="12" thickBot="1">
      <c r="A20" s="6" t="s">
        <v>31</v>
      </c>
      <c r="B20" s="541"/>
      <c r="C20" s="540"/>
      <c r="D20" s="542"/>
      <c r="E20" s="6" t="s">
        <v>34</v>
      </c>
      <c r="F20" s="540"/>
      <c r="G20" s="540"/>
      <c r="H20" s="540"/>
      <c r="I20" s="623"/>
      <c r="J20" s="617"/>
      <c r="K20" s="618" t="s">
        <v>811</v>
      </c>
      <c r="L20" s="618"/>
      <c r="M20" s="191"/>
      <c r="N20" s="802">
        <f>IF(M19="UN",M16+2,IF(M19="SK",M16,IF(M19="XP",M16-1,IF(M19="MS",M16-2,IF(M19="GM",M16-3,IF(M19="BS",M16,0))))))</f>
        <v>0</v>
      </c>
      <c r="O20" s="274">
        <f>IF(I19="M","No Melee",IF(N20=0,0,N20-I20-Q7))</f>
        <v>0</v>
      </c>
      <c r="P20" s="179">
        <f>IF(I19="M","No Melee",IF(N20=0,0,N20-J20-Q7))</f>
        <v>0</v>
      </c>
      <c r="Q20" s="174">
        <f>IF(N19=0,0,IF(I19="M",N19-Q11+1,N20+Q11+1))</f>
        <v>0</v>
      </c>
      <c r="R20" s="175">
        <f>Q20-1</f>
        <v>-1</v>
      </c>
      <c r="S20" s="176">
        <f>Q20-2</f>
        <v>-2</v>
      </c>
      <c r="T20" s="663"/>
      <c r="U20" s="184">
        <f>IF(I19="M",I20,I20+Q7)</f>
        <v>-3</v>
      </c>
      <c r="V20" s="292">
        <f>U20+J20</f>
        <v>-3</v>
      </c>
      <c r="W20" s="318">
        <f>L20</f>
        <v>0</v>
      </c>
      <c r="X20" s="318"/>
      <c r="Y20" s="309">
        <f>J21</f>
        <v>0</v>
      </c>
      <c r="Z20" s="141"/>
      <c r="AA20" s="141"/>
      <c r="AB20" s="214"/>
      <c r="AC20" s="41" t="s">
        <v>278</v>
      </c>
      <c r="AD20" s="8"/>
      <c r="AE20" s="218"/>
      <c r="AF20" s="131"/>
      <c r="AG20" s="132"/>
      <c r="AH20" s="132"/>
      <c r="AI20" s="223"/>
      <c r="AJ20" s="131"/>
      <c r="AK20" s="132"/>
      <c r="AL20" s="132"/>
      <c r="AM20" s="132"/>
      <c r="AN20" s="223"/>
      <c r="AO20" s="19"/>
      <c r="AP20" s="9"/>
      <c r="AQ20" s="37"/>
      <c r="AR20" s="9"/>
      <c r="AS20" s="37"/>
      <c r="AT20" s="9"/>
      <c r="AU20" s="37"/>
      <c r="AV20" s="9"/>
      <c r="AW20" s="37"/>
      <c r="AX20" s="9"/>
      <c r="AY20" s="37"/>
      <c r="AZ20" s="12"/>
    </row>
    <row r="21" spans="1:52" ht="11.25">
      <c r="A21" s="6" t="s">
        <v>32</v>
      </c>
      <c r="B21" s="555"/>
      <c r="C21" s="102" t="s">
        <v>799</v>
      </c>
      <c r="D21" s="101" t="str">
        <f>IF(B21="Lawful","12+1d6",IF(B21="Chaotic","2d6","6+1d6"))</f>
        <v>6+1d6</v>
      </c>
      <c r="E21" s="6" t="s">
        <v>35</v>
      </c>
      <c r="F21" s="540"/>
      <c r="G21" s="540"/>
      <c r="H21" s="540"/>
      <c r="I21" s="322"/>
      <c r="J21" s="624"/>
      <c r="K21" s="615"/>
      <c r="L21" s="615"/>
      <c r="M21" s="616"/>
      <c r="N21" s="808">
        <f>IF(M21="SK",M18-2,IF(M21="XP",M18-3,IF(M21="MS",M18-4,IF(M21="GM",M18-5,IF(M21="BS",M18,0)))))</f>
        <v>0</v>
      </c>
      <c r="O21" s="303">
        <f>IF(I21="M","No Melee",IF(N21=0,0,N21-I22-Q9))</f>
        <v>0</v>
      </c>
      <c r="P21" s="177">
        <f>IF(I21="M","No Melee",IF(N21=0,0,N21-J22-Q9))</f>
        <v>0</v>
      </c>
      <c r="Q21" s="659"/>
      <c r="R21" s="821"/>
      <c r="S21" s="222"/>
      <c r="T21" s="662"/>
      <c r="U21" s="320">
        <f>IF(I21="M",I22,I22+Q7)</f>
        <v>-3</v>
      </c>
      <c r="V21" s="320">
        <f>U21+J22</f>
        <v>-3</v>
      </c>
      <c r="W21" s="317">
        <f>L22</f>
        <v>0</v>
      </c>
      <c r="X21" s="813"/>
      <c r="Y21" s="786">
        <f>J24</f>
        <v>0</v>
      </c>
      <c r="Z21" s="141"/>
      <c r="AA21" s="141"/>
      <c r="AB21" s="214"/>
      <c r="AC21" s="41" t="s">
        <v>279</v>
      </c>
      <c r="AD21" s="8"/>
      <c r="AE21" s="218"/>
      <c r="AF21" s="131"/>
      <c r="AG21" s="132"/>
      <c r="AH21" s="132"/>
      <c r="AI21" s="223"/>
      <c r="AJ21" s="131"/>
      <c r="AK21" s="132"/>
      <c r="AL21" s="132"/>
      <c r="AM21" s="132"/>
      <c r="AN21" s="223"/>
      <c r="AO21" s="19"/>
      <c r="AP21" s="9"/>
      <c r="AQ21" s="37"/>
      <c r="AR21" s="9"/>
      <c r="AS21" s="37"/>
      <c r="AT21" s="9"/>
      <c r="AU21" s="37"/>
      <c r="AV21" s="9"/>
      <c r="AW21" s="37"/>
      <c r="AX21" s="9"/>
      <c r="AY21" s="37"/>
      <c r="AZ21" s="12"/>
    </row>
    <row r="22" spans="1:52" ht="12" thickBot="1">
      <c r="A22" s="6"/>
      <c r="B22" s="556"/>
      <c r="C22" s="171">
        <f>IF(B22="Good","+2",IF(B22="Evil","NPC ONLY -2",0))</f>
        <v>0</v>
      </c>
      <c r="D22" s="252" t="s">
        <v>798</v>
      </c>
      <c r="E22" s="6" t="s">
        <v>36</v>
      </c>
      <c r="F22" s="540"/>
      <c r="G22" s="540"/>
      <c r="H22" s="540"/>
      <c r="I22" s="792"/>
      <c r="J22" s="788"/>
      <c r="K22" s="620" t="s">
        <v>811</v>
      </c>
      <c r="L22" s="620"/>
      <c r="M22" s="133"/>
      <c r="N22" s="809">
        <f>IF(M21="UN",M18+2,IF(M21="SK",M18,IF(M21="XP",M18-1,IF(M21="MS",M18-2,IF(M21="GM",M18-3,IF(M21="BS",M18,0))))))</f>
        <v>0</v>
      </c>
      <c r="O22" s="274">
        <f>IF(I21="M","No Melee",IF(N22=0,0,N22-I22-Q9))</f>
        <v>0</v>
      </c>
      <c r="P22" s="179">
        <f>IF(I21="M","No Melee",IF(N22=0,0,N22-J22-Q9))</f>
        <v>0</v>
      </c>
      <c r="Q22" s="174">
        <f>IF(N21=0,0,IF(I21="M",N21-Q11+1,N22+Q11+1))</f>
        <v>0</v>
      </c>
      <c r="R22" s="178">
        <f>Q22-1</f>
        <v>-1</v>
      </c>
      <c r="S22" s="179">
        <f>Q22-2</f>
        <v>-2</v>
      </c>
      <c r="T22" s="787"/>
      <c r="U22" s="178">
        <f>IF(I21="M",I22,I22+Q7)</f>
        <v>-3</v>
      </c>
      <c r="V22" s="178">
        <f>U22+J22</f>
        <v>-3</v>
      </c>
      <c r="W22" s="110">
        <f>L22</f>
        <v>0</v>
      </c>
      <c r="X22" s="810"/>
      <c r="Y22" s="141"/>
      <c r="Z22" s="141"/>
      <c r="AA22" s="141"/>
      <c r="AB22" s="214"/>
      <c r="AC22" s="41" t="s">
        <v>280</v>
      </c>
      <c r="AD22" s="8"/>
      <c r="AE22" s="218"/>
      <c r="AF22" s="131"/>
      <c r="AG22" s="132"/>
      <c r="AH22" s="132"/>
      <c r="AI22" s="223"/>
      <c r="AJ22" s="131"/>
      <c r="AK22" s="132"/>
      <c r="AL22" s="132"/>
      <c r="AM22" s="132"/>
      <c r="AN22" s="223"/>
      <c r="AO22" s="19"/>
      <c r="AP22" s="9"/>
      <c r="AQ22" s="37"/>
      <c r="AR22" s="9"/>
      <c r="AS22" s="37"/>
      <c r="AT22" s="9"/>
      <c r="AU22" s="37"/>
      <c r="AV22" s="9"/>
      <c r="AW22" s="37"/>
      <c r="AX22" s="9"/>
      <c r="AY22" s="37"/>
      <c r="AZ22" s="12"/>
    </row>
    <row r="23" spans="1:52" ht="2.25" customHeight="1" thickBot="1">
      <c r="A23" s="13"/>
      <c r="B23" s="551"/>
      <c r="C23" s="105"/>
      <c r="D23" s="104"/>
      <c r="E23" s="13"/>
      <c r="F23" s="551"/>
      <c r="G23" s="551"/>
      <c r="H23" s="551"/>
      <c r="I23" s="793"/>
      <c r="J23" s="794"/>
      <c r="K23" s="134"/>
      <c r="L23" s="134"/>
      <c r="M23" s="133"/>
      <c r="N23" s="814"/>
      <c r="O23" s="110"/>
      <c r="P23" s="818"/>
      <c r="Q23" s="109"/>
      <c r="R23" s="816"/>
      <c r="S23" s="818"/>
      <c r="T23" s="134"/>
      <c r="U23" s="816"/>
      <c r="V23" s="816"/>
      <c r="W23" s="110"/>
      <c r="X23" s="810"/>
      <c r="Y23" s="110"/>
      <c r="Z23" s="110"/>
      <c r="AA23" s="110"/>
      <c r="AB23" s="179"/>
      <c r="AC23" s="41"/>
      <c r="AD23" s="8"/>
      <c r="AE23" s="219"/>
      <c r="AF23" s="133"/>
      <c r="AG23" s="134"/>
      <c r="AH23" s="134"/>
      <c r="AI23" s="224"/>
      <c r="AJ23" s="133"/>
      <c r="AK23" s="134"/>
      <c r="AL23" s="134"/>
      <c r="AM23" s="134"/>
      <c r="AN23" s="224"/>
      <c r="AO23" s="20"/>
      <c r="AP23" s="11"/>
      <c r="AQ23" s="70"/>
      <c r="AR23" s="11"/>
      <c r="AS23" s="70"/>
      <c r="AT23" s="11"/>
      <c r="AU23" s="70"/>
      <c r="AV23" s="11"/>
      <c r="AW23" s="70"/>
      <c r="AX23" s="11"/>
      <c r="AY23" s="70"/>
      <c r="AZ23" s="17"/>
    </row>
    <row r="24" spans="1:52" ht="11.25">
      <c r="A24" s="1" t="s">
        <v>37</v>
      </c>
      <c r="B24" s="558"/>
      <c r="C24" s="181" t="s">
        <v>49</v>
      </c>
      <c r="D24" s="3" t="s">
        <v>61</v>
      </c>
      <c r="E24" s="3"/>
      <c r="F24" s="546"/>
      <c r="G24" s="546"/>
      <c r="H24" s="546"/>
      <c r="I24" s="795"/>
      <c r="J24" s="621"/>
      <c r="K24" s="621"/>
      <c r="L24" s="615"/>
      <c r="M24" s="804"/>
      <c r="N24" s="801">
        <f>IF(M24="SK",M21-2,IF(M24="XP",M21-3,IF(M24="MS",M21-4,IF(M24="GM",M21-5,IF(M24="BS",M21,0)))))</f>
        <v>0</v>
      </c>
      <c r="O24" s="303">
        <f>IF(I24="M","No Melee",IF(N24=0,0,N24-I25-Q12))</f>
        <v>0</v>
      </c>
      <c r="P24" s="177">
        <f>IF(I24="M","No Melee",IF(N24=0,0,N24-J25-Q12))</f>
        <v>0</v>
      </c>
      <c r="Q24" s="659"/>
      <c r="R24" s="821"/>
      <c r="S24" s="222"/>
      <c r="T24" s="822"/>
      <c r="U24" s="320">
        <f>IF(I24="M",I25,I25+Q7)</f>
        <v>-3</v>
      </c>
      <c r="V24" s="320">
        <f>U24+J25</f>
        <v>-3</v>
      </c>
      <c r="W24" s="317">
        <f>L25</f>
        <v>0</v>
      </c>
      <c r="X24" s="813"/>
      <c r="Y24" s="112"/>
      <c r="Z24" s="112"/>
      <c r="AA24" s="112"/>
      <c r="AB24" s="215"/>
      <c r="AC24" s="41" t="s">
        <v>281</v>
      </c>
      <c r="AD24" s="8"/>
      <c r="AE24" s="218"/>
      <c r="AF24" s="131"/>
      <c r="AG24" s="132"/>
      <c r="AH24" s="132"/>
      <c r="AI24" s="223"/>
      <c r="AJ24" s="131"/>
      <c r="AK24" s="132"/>
      <c r="AL24" s="132"/>
      <c r="AM24" s="132"/>
      <c r="AN24" s="223"/>
      <c r="AO24" s="19"/>
      <c r="AP24" s="9"/>
      <c r="AQ24" s="37"/>
      <c r="AR24" s="9"/>
      <c r="AS24" s="37"/>
      <c r="AT24" s="9"/>
      <c r="AU24" s="37"/>
      <c r="AV24" s="9"/>
      <c r="AW24" s="37"/>
      <c r="AX24" s="9"/>
      <c r="AY24" s="37"/>
      <c r="AZ24" s="12"/>
    </row>
    <row r="25" spans="1:52" ht="12" thickBot="1">
      <c r="A25" s="6" t="s">
        <v>38</v>
      </c>
      <c r="B25" s="559"/>
      <c r="C25" s="24" t="s">
        <v>50</v>
      </c>
      <c r="D25" s="8" t="s">
        <v>62</v>
      </c>
      <c r="E25" s="8"/>
      <c r="F25" s="540"/>
      <c r="G25" s="540"/>
      <c r="H25" s="540"/>
      <c r="I25" s="623"/>
      <c r="J25" s="619"/>
      <c r="K25" s="618" t="s">
        <v>811</v>
      </c>
      <c r="L25" s="618"/>
      <c r="M25" s="805"/>
      <c r="N25" s="819">
        <f>IF(M24="UN",M21+2,IF(M24="SK",M21,IF(M24="XP",M21-1,IF(M24="MS",M21-2,IF(M24="GM",M21-3,IF(M24="BS",M21,0))))))</f>
        <v>0</v>
      </c>
      <c r="O25" s="274">
        <f>IF(I24="M","No Melee",IF(N25=0,0,N25-I25-Q12))</f>
        <v>0</v>
      </c>
      <c r="P25" s="179">
        <f>IF(I24="M","No Melee",IF(N25=0,0,N25-J25-Q12))</f>
        <v>0</v>
      </c>
      <c r="Q25" s="812">
        <f>IF(N24=0,0,IF(I24="M",N24-Q11+1,N25+Q11+1))</f>
        <v>0</v>
      </c>
      <c r="R25" s="321">
        <f>Q25-1</f>
        <v>-1</v>
      </c>
      <c r="S25" s="180">
        <f>Q25-2</f>
        <v>-2</v>
      </c>
      <c r="T25" s="797"/>
      <c r="U25" s="321">
        <f>IF(I24="M",I25,I25+Q7)</f>
        <v>-3</v>
      </c>
      <c r="V25" s="321">
        <f>U25+J25</f>
        <v>-3</v>
      </c>
      <c r="W25" s="108">
        <f>L25</f>
        <v>0</v>
      </c>
      <c r="X25" s="814"/>
      <c r="Y25" s="108"/>
      <c r="Z25" s="108"/>
      <c r="AA25" s="108"/>
      <c r="AB25" s="180"/>
      <c r="AC25" s="126"/>
      <c r="AD25" s="125"/>
      <c r="AE25" s="218"/>
      <c r="AF25" s="131"/>
      <c r="AG25" s="132"/>
      <c r="AH25" s="132"/>
      <c r="AI25" s="223"/>
      <c r="AJ25" s="131"/>
      <c r="AK25" s="132"/>
      <c r="AL25" s="132"/>
      <c r="AM25" s="132"/>
      <c r="AN25" s="223"/>
      <c r="AO25" s="48"/>
      <c r="AP25" s="7"/>
      <c r="AQ25" s="38"/>
      <c r="AR25" s="7"/>
      <c r="AS25" s="38"/>
      <c r="AT25" s="7"/>
      <c r="AU25" s="38"/>
      <c r="AV25" s="7"/>
      <c r="AW25" s="38"/>
      <c r="AX25" s="7"/>
      <c r="AY25" s="38"/>
      <c r="AZ25" s="10"/>
    </row>
    <row r="26" spans="1:52" ht="11.25">
      <c r="A26" s="6" t="s">
        <v>39</v>
      </c>
      <c r="B26" s="560"/>
      <c r="C26" s="24" t="s">
        <v>51</v>
      </c>
      <c r="D26" s="8" t="s">
        <v>63</v>
      </c>
      <c r="E26" s="8"/>
      <c r="F26" s="540"/>
      <c r="G26" s="540"/>
      <c r="H26" s="540"/>
      <c r="I26" s="795"/>
      <c r="J26" s="615"/>
      <c r="K26" s="615"/>
      <c r="L26" s="615"/>
      <c r="M26" s="616"/>
      <c r="N26" s="820">
        <f>IF(M26="SK",M23-2,IF(M26="XP",M23-3,IF(M26="MS",M23-4,IF(M26="GM",M23-5,IF(M26="BS",M23,0)))))</f>
        <v>0</v>
      </c>
      <c r="O26" s="303">
        <f>IF(I26="M","No Melee",IF(N26=0,0,N26-I27-Q14))</f>
        <v>0</v>
      </c>
      <c r="P26" s="177">
        <f>IF(I26="M","No Melee",IF(N26=0,0,N26-J27-Q14))</f>
        <v>0</v>
      </c>
      <c r="Q26" s="322"/>
      <c r="R26" s="815"/>
      <c r="S26" s="817"/>
      <c r="T26" s="796"/>
      <c r="U26" s="807">
        <f>IF(I26="M",I28,I28+Q7)</f>
        <v>-3</v>
      </c>
      <c r="V26" s="807">
        <f>U26+J28</f>
        <v>-3</v>
      </c>
      <c r="W26" s="97">
        <f>L28</f>
        <v>0</v>
      </c>
      <c r="X26" s="813"/>
      <c r="Y26" s="112"/>
      <c r="Z26" s="112"/>
      <c r="AA26" s="112"/>
      <c r="AB26" s="215"/>
      <c r="AC26" s="126"/>
      <c r="AD26" s="125"/>
      <c r="AE26" s="218"/>
      <c r="AF26" s="131"/>
      <c r="AG26" s="132"/>
      <c r="AH26" s="132"/>
      <c r="AI26" s="223"/>
      <c r="AJ26" s="131"/>
      <c r="AK26" s="132"/>
      <c r="AL26" s="132"/>
      <c r="AM26" s="132"/>
      <c r="AN26" s="223"/>
      <c r="AO26" s="48"/>
      <c r="AP26" s="7"/>
      <c r="AQ26" s="38"/>
      <c r="AR26" s="7"/>
      <c r="AS26" s="38"/>
      <c r="AT26" s="7"/>
      <c r="AU26" s="38"/>
      <c r="AV26" s="7"/>
      <c r="AW26" s="38"/>
      <c r="AX26" s="7"/>
      <c r="AY26" s="38"/>
      <c r="AZ26" s="10"/>
    </row>
    <row r="27" spans="1:52" ht="2.25" customHeight="1" thickBot="1">
      <c r="A27" s="6"/>
      <c r="B27" s="561"/>
      <c r="C27" s="24"/>
      <c r="D27" s="26"/>
      <c r="E27" s="26"/>
      <c r="F27" s="551"/>
      <c r="G27" s="551"/>
      <c r="H27" s="551"/>
      <c r="I27" s="798"/>
      <c r="J27" s="791"/>
      <c r="K27" s="134"/>
      <c r="L27" s="134"/>
      <c r="M27" s="133"/>
      <c r="N27" s="810"/>
      <c r="O27" s="110"/>
      <c r="P27" s="818"/>
      <c r="Q27" s="131"/>
      <c r="R27" s="823"/>
      <c r="S27" s="824"/>
      <c r="T27" s="132"/>
      <c r="U27" s="825"/>
      <c r="V27" s="825"/>
      <c r="W27" s="319"/>
      <c r="X27" s="810"/>
      <c r="Y27" s="110"/>
      <c r="Z27" s="110"/>
      <c r="AA27" s="110"/>
      <c r="AB27" s="179"/>
      <c r="AC27" s="140"/>
      <c r="AD27" s="113"/>
      <c r="AE27" s="219"/>
      <c r="AF27" s="133"/>
      <c r="AG27" s="134"/>
      <c r="AH27" s="134"/>
      <c r="AI27" s="224"/>
      <c r="AJ27" s="133"/>
      <c r="AK27" s="134"/>
      <c r="AL27" s="134"/>
      <c r="AM27" s="134"/>
      <c r="AN27" s="224"/>
      <c r="AO27" s="21"/>
      <c r="AP27" s="14"/>
      <c r="AQ27" s="85"/>
      <c r="AR27" s="14"/>
      <c r="AS27" s="85"/>
      <c r="AT27" s="14"/>
      <c r="AU27" s="85"/>
      <c r="AV27" s="14"/>
      <c r="AW27" s="85"/>
      <c r="AX27" s="14"/>
      <c r="AY27" s="85"/>
      <c r="AZ27" s="15"/>
    </row>
    <row r="28" spans="1:52" ht="12" thickBot="1">
      <c r="A28" s="6" t="s">
        <v>40</v>
      </c>
      <c r="B28" s="560"/>
      <c r="C28" s="172" t="s">
        <v>52</v>
      </c>
      <c r="D28" s="3" t="s">
        <v>25</v>
      </c>
      <c r="E28" s="546"/>
      <c r="F28" s="147" t="s">
        <v>797</v>
      </c>
      <c r="G28" s="148"/>
      <c r="H28" s="785"/>
      <c r="I28" s="799"/>
      <c r="J28" s="800"/>
      <c r="K28" s="618" t="s">
        <v>811</v>
      </c>
      <c r="L28" s="618"/>
      <c r="M28" s="622"/>
      <c r="N28" s="811">
        <f>IF(M26="UN",M23+2,IF(M26="SK",M23,IF(M26="XP",M23-1,IF(M26="MS",M23-2,IF(M26="GM",M23-3,IF(M26="BS",M23,0))))))</f>
        <v>0</v>
      </c>
      <c r="O28" s="274">
        <f>IF(I26="M","No Melee",IF(N28=0,0,N28-I27-Q14))</f>
        <v>0</v>
      </c>
      <c r="P28" s="180">
        <f>IF(I26="M","No Melee",IF(N28=0,0,N28-J27-Q14))</f>
        <v>0</v>
      </c>
      <c r="Q28" s="812">
        <f>IF(N26=0,0,IF(I26="M",N26-Q11+1,#REF!+Q11+1))</f>
        <v>0</v>
      </c>
      <c r="R28" s="321">
        <f>Q28-1</f>
        <v>-1</v>
      </c>
      <c r="S28" s="180">
        <f>Q28-2</f>
        <v>-2</v>
      </c>
      <c r="T28" s="797"/>
      <c r="U28" s="321">
        <f>IF(I26="M",I28,I28+Q7)</f>
        <v>-3</v>
      </c>
      <c r="V28" s="321">
        <f>U28+J28</f>
        <v>-3</v>
      </c>
      <c r="W28" s="108">
        <f>L28</f>
        <v>0</v>
      </c>
      <c r="X28" s="814"/>
      <c r="Y28" s="112"/>
      <c r="Z28" s="112"/>
      <c r="AA28" s="112"/>
      <c r="AB28" s="215"/>
      <c r="AC28" s="126"/>
      <c r="AD28" s="125"/>
      <c r="AE28" s="218"/>
      <c r="AF28" s="131"/>
      <c r="AG28" s="132"/>
      <c r="AH28" s="132"/>
      <c r="AI28" s="223"/>
      <c r="AJ28" s="131"/>
      <c r="AK28" s="132" t="s">
        <v>274</v>
      </c>
      <c r="AL28" s="132"/>
      <c r="AM28" s="132"/>
      <c r="AN28" s="223"/>
      <c r="AO28" s="1" t="s">
        <v>306</v>
      </c>
      <c r="AP28" s="3"/>
      <c r="AQ28" s="84"/>
      <c r="AR28" s="2"/>
      <c r="AS28" s="84"/>
      <c r="AT28" s="2"/>
      <c r="AU28" s="84"/>
      <c r="AV28" s="2"/>
      <c r="AW28" s="84"/>
      <c r="AX28" s="2"/>
      <c r="AY28" s="84"/>
      <c r="AZ28" s="4"/>
    </row>
    <row r="29" spans="1:52" ht="11.25">
      <c r="A29" s="6" t="s">
        <v>41</v>
      </c>
      <c r="B29" s="560"/>
      <c r="C29" s="24" t="s">
        <v>53</v>
      </c>
      <c r="D29" s="8" t="s">
        <v>26</v>
      </c>
      <c r="E29" s="540"/>
      <c r="F29" s="540"/>
      <c r="G29" s="540"/>
      <c r="H29" s="542"/>
      <c r="I29" s="323"/>
      <c r="J29" s="625"/>
      <c r="K29" s="134"/>
      <c r="L29" s="134"/>
      <c r="M29" s="806"/>
      <c r="N29" s="803">
        <f>IF(M29="SK",M26-2,IF(M29="XP",M26-3,IF(M29="MS",M26-4,IF(M29="GM",M26-5,IF(M29="BS",M26,0)))))</f>
        <v>0</v>
      </c>
      <c r="O29" s="303">
        <f>IF(I29="M","No Melee",IF(N29=0,0,N29-I30-Q17))</f>
        <v>0</v>
      </c>
      <c r="P29" s="177">
        <f>IF(I29="M","No Melee",IF(N29=0,0,N29-J30-Q17))</f>
        <v>0</v>
      </c>
      <c r="Q29" s="789"/>
      <c r="R29" s="790"/>
      <c r="S29" s="118"/>
      <c r="T29" s="664"/>
      <c r="U29" s="184">
        <f>IF(I29="M",I30,I30+Q7)</f>
        <v>-3</v>
      </c>
      <c r="V29" s="292">
        <f>U29+J30</f>
        <v>-3</v>
      </c>
      <c r="W29" s="319">
        <f>L30</f>
        <v>0</v>
      </c>
      <c r="X29" s="319"/>
      <c r="Y29" s="112">
        <f>L39</f>
        <v>0</v>
      </c>
      <c r="Z29" s="112"/>
      <c r="AA29" s="112"/>
      <c r="AB29" s="215"/>
      <c r="AC29" s="863" t="s">
        <v>282</v>
      </c>
      <c r="AD29" s="864"/>
      <c r="AE29" s="218"/>
      <c r="AF29" s="131"/>
      <c r="AG29" s="132"/>
      <c r="AH29" s="132"/>
      <c r="AI29" s="223"/>
      <c r="AJ29" s="131"/>
      <c r="AK29" s="132"/>
      <c r="AL29" s="132"/>
      <c r="AM29" s="132"/>
      <c r="AN29" s="223"/>
      <c r="AO29" s="19"/>
      <c r="AP29" s="9"/>
      <c r="AQ29" s="37"/>
      <c r="AR29" s="9"/>
      <c r="AS29" s="37"/>
      <c r="AT29" s="9"/>
      <c r="AU29" s="37"/>
      <c r="AV29" s="9"/>
      <c r="AW29" s="37"/>
      <c r="AX29" s="9"/>
      <c r="AY29" s="37"/>
      <c r="AZ29" s="12"/>
    </row>
    <row r="30" spans="1:52" ht="12" thickBot="1">
      <c r="A30" s="6" t="s">
        <v>42</v>
      </c>
      <c r="B30" s="560"/>
      <c r="C30" s="24" t="s">
        <v>54</v>
      </c>
      <c r="D30" s="8" t="s">
        <v>27</v>
      </c>
      <c r="E30" s="540"/>
      <c r="F30" s="540"/>
      <c r="G30" s="540"/>
      <c r="H30" s="542"/>
      <c r="I30" s="623"/>
      <c r="J30" s="619"/>
      <c r="K30" s="618" t="s">
        <v>811</v>
      </c>
      <c r="L30" s="618"/>
      <c r="M30" s="805"/>
      <c r="N30" s="802">
        <f>IF(M29="UN",M26+2,IF(M29="SK",M26,IF(M29="XP",M26-1,IF(M29="MS",M26-2,IF(M29="GM",M26-3,IF(M29="BS",M26,0))))))</f>
        <v>0</v>
      </c>
      <c r="O30" s="274">
        <f>IF(I29="M","No Melee",IF(N30=0,0,N30-I30-Q17))</f>
        <v>0</v>
      </c>
      <c r="P30" s="179">
        <f>IF(I29="M","No Melee",IF(N30=0,0,N30-J30-Q17))</f>
        <v>0</v>
      </c>
      <c r="Q30" s="174">
        <f>IF(N29=0,0,IF(I29="M",N29-Q11+1,N30+Q11+1))</f>
        <v>0</v>
      </c>
      <c r="R30" s="175">
        <f>Q30-1</f>
        <v>-1</v>
      </c>
      <c r="S30" s="176">
        <f>Q30-2</f>
        <v>-2</v>
      </c>
      <c r="T30" s="663"/>
      <c r="U30" s="184">
        <f>IF(I29="M",I30,I30+Q7)</f>
        <v>-3</v>
      </c>
      <c r="V30" s="292">
        <f>U30+J30</f>
        <v>-3</v>
      </c>
      <c r="W30" s="318">
        <f>L30</f>
        <v>0</v>
      </c>
      <c r="X30" s="318"/>
      <c r="Y30" s="112">
        <f>L37</f>
        <v>0</v>
      </c>
      <c r="Z30" s="112"/>
      <c r="AA30" s="112"/>
      <c r="AB30" s="215"/>
      <c r="AC30" s="324" t="s">
        <v>817</v>
      </c>
      <c r="AD30" s="125"/>
      <c r="AE30" s="218"/>
      <c r="AF30" s="131"/>
      <c r="AG30" s="132"/>
      <c r="AH30" s="132"/>
      <c r="AI30" s="223"/>
      <c r="AJ30" s="131"/>
      <c r="AK30" s="132"/>
      <c r="AL30" s="132"/>
      <c r="AM30" s="132"/>
      <c r="AN30" s="223"/>
      <c r="AO30" s="19"/>
      <c r="AP30" s="9"/>
      <c r="AQ30" s="37"/>
      <c r="AR30" s="9"/>
      <c r="AS30" s="37"/>
      <c r="AT30" s="9"/>
      <c r="AU30" s="37"/>
      <c r="AV30" s="9"/>
      <c r="AW30" s="37"/>
      <c r="AX30" s="9"/>
      <c r="AY30" s="37"/>
      <c r="AZ30" s="12"/>
    </row>
    <row r="31" spans="1:52" ht="12" thickBot="1">
      <c r="A31" s="6" t="s">
        <v>43</v>
      </c>
      <c r="B31" s="560"/>
      <c r="C31" s="172" t="s">
        <v>55</v>
      </c>
      <c r="D31" s="8" t="s">
        <v>28</v>
      </c>
      <c r="E31" s="541"/>
      <c r="F31" s="541"/>
      <c r="G31" s="541"/>
      <c r="H31" s="543"/>
      <c r="I31" s="322"/>
      <c r="J31" s="624"/>
      <c r="K31" s="615"/>
      <c r="L31" s="615"/>
      <c r="M31" s="804"/>
      <c r="N31" s="801">
        <f>IF(M31="SK",M28-2,IF(M31="XP",M28-3,IF(M31="MS",M28-4,IF(M31="GM",M28-5,IF(M31="BS",M28,0)))))</f>
        <v>0</v>
      </c>
      <c r="O31" s="303">
        <f>IF(I31="M","No Melee",IF(N31=0,0,N31-I32-Q19))</f>
        <v>0</v>
      </c>
      <c r="P31" s="177">
        <f>IF(I31="M","No Melee",IF(N31=0,0,N31-J32-Q19))</f>
        <v>0</v>
      </c>
      <c r="Q31" s="659"/>
      <c r="R31" s="660"/>
      <c r="S31" s="661"/>
      <c r="T31" s="662"/>
      <c r="U31" s="166">
        <f>IF(I31="M",I32,I32+Q7)</f>
        <v>-3</v>
      </c>
      <c r="V31" s="303">
        <f>U31+J32</f>
        <v>-3</v>
      </c>
      <c r="W31" s="317">
        <f>L32</f>
        <v>0</v>
      </c>
      <c r="X31" s="317"/>
      <c r="Y31" s="112">
        <f>L38</f>
        <v>0</v>
      </c>
      <c r="Z31" s="112"/>
      <c r="AA31" s="112"/>
      <c r="AB31" s="215"/>
      <c r="AC31" s="126"/>
      <c r="AD31" s="125"/>
      <c r="AE31" s="218"/>
      <c r="AF31" s="131"/>
      <c r="AG31" s="132"/>
      <c r="AH31" s="132"/>
      <c r="AI31" s="223"/>
      <c r="AJ31" s="131"/>
      <c r="AK31" s="132"/>
      <c r="AL31" s="132"/>
      <c r="AM31" s="132"/>
      <c r="AN31" s="223"/>
      <c r="AO31" s="48"/>
      <c r="AP31" s="7"/>
      <c r="AQ31" s="38"/>
      <c r="AR31" s="7"/>
      <c r="AS31" s="38"/>
      <c r="AT31" s="7"/>
      <c r="AU31" s="38"/>
      <c r="AV31" s="7"/>
      <c r="AW31" s="38"/>
      <c r="AX31" s="7"/>
      <c r="AY31" s="38"/>
      <c r="AZ31" s="10"/>
    </row>
    <row r="32" spans="1:52" ht="13.5" customHeight="1" thickBot="1">
      <c r="A32" s="6" t="s">
        <v>44</v>
      </c>
      <c r="B32" s="560"/>
      <c r="C32" s="24" t="s">
        <v>56</v>
      </c>
      <c r="D32" s="1" t="s">
        <v>66</v>
      </c>
      <c r="E32" s="546"/>
      <c r="F32" s="546"/>
      <c r="G32" s="546"/>
      <c r="H32" s="557"/>
      <c r="I32" s="623"/>
      <c r="J32" s="619"/>
      <c r="K32" s="618" t="s">
        <v>811</v>
      </c>
      <c r="L32" s="618"/>
      <c r="M32" s="805"/>
      <c r="N32" s="802">
        <f>IF(M31="UN",M28+2,IF(M31="SK",M28,IF(M31="XP",M28-1,IF(M31="MS",M28-2,IF(M31="GM",M28-3,IF(M31="BS",M28,0))))))</f>
        <v>0</v>
      </c>
      <c r="O32" s="274">
        <f>IF(I31="M","No Melee",IF(N32=0,0,N32-I32-Q19))</f>
        <v>0</v>
      </c>
      <c r="P32" s="179">
        <f>IF(I31="M","No Melee",IF(N32=0,0,N32-J32-Q19))</f>
        <v>0</v>
      </c>
      <c r="Q32" s="174">
        <f>IF(N31=0,0,IF(I31="M",N31-Q11+1,N32+Q11+1))</f>
        <v>0</v>
      </c>
      <c r="R32" s="175">
        <f>Q32-1</f>
        <v>-1</v>
      </c>
      <c r="S32" s="176">
        <f>Q32-2</f>
        <v>-2</v>
      </c>
      <c r="T32" s="663"/>
      <c r="U32" s="184">
        <f>IF(I31="M",I32,I32+Q7)</f>
        <v>-3</v>
      </c>
      <c r="V32" s="292">
        <f>U32+J32</f>
        <v>-3</v>
      </c>
      <c r="W32" s="318">
        <f>L32</f>
        <v>0</v>
      </c>
      <c r="X32" s="318"/>
      <c r="Y32" s="112">
        <f>P35</f>
        <v>0</v>
      </c>
      <c r="Z32" s="112"/>
      <c r="AA32" s="142"/>
      <c r="AB32" s="183"/>
      <c r="AC32" s="126"/>
      <c r="AD32" s="125"/>
      <c r="AE32" s="218"/>
      <c r="AF32" s="131"/>
      <c r="AG32" s="132"/>
      <c r="AH32" s="135"/>
      <c r="AI32" s="118"/>
      <c r="AJ32" s="131"/>
      <c r="AK32" s="132"/>
      <c r="AL32" s="132"/>
      <c r="AM32" s="135"/>
      <c r="AN32" s="118"/>
      <c r="AO32" s="48"/>
      <c r="AP32" s="7"/>
      <c r="AQ32" s="38"/>
      <c r="AR32" s="7"/>
      <c r="AS32" s="38"/>
      <c r="AT32" s="7"/>
      <c r="AU32" s="38"/>
      <c r="AV32" s="7"/>
      <c r="AW32" s="38"/>
      <c r="AX32" s="7"/>
      <c r="AY32" s="38"/>
      <c r="AZ32" s="10"/>
    </row>
    <row r="33" spans="1:52" ht="12" thickBot="1">
      <c r="A33" s="6" t="s">
        <v>45</v>
      </c>
      <c r="B33" s="560"/>
      <c r="C33" s="172" t="s">
        <v>57</v>
      </c>
      <c r="D33" s="6"/>
      <c r="E33" s="540"/>
      <c r="F33" s="540"/>
      <c r="G33" s="540"/>
      <c r="H33" s="542"/>
      <c r="I33" s="93" t="s">
        <v>184</v>
      </c>
      <c r="J33" s="94"/>
      <c r="K33" s="94"/>
      <c r="L33" s="94"/>
      <c r="M33" s="159"/>
      <c r="N33" s="159"/>
      <c r="O33" s="94"/>
      <c r="P33" s="719"/>
      <c r="Q33" s="719"/>
      <c r="R33" s="95" t="s">
        <v>185</v>
      </c>
      <c r="S33" s="719"/>
      <c r="T33" s="615"/>
      <c r="U33" s="719"/>
      <c r="V33" s="94" t="s">
        <v>186</v>
      </c>
      <c r="W33" s="615"/>
      <c r="X33" s="720"/>
      <c r="Y33" s="108">
        <f>L35</f>
        <v>0</v>
      </c>
      <c r="Z33" s="108"/>
      <c r="AA33" s="143"/>
      <c r="AB33" s="185"/>
      <c r="AC33" s="127" t="s">
        <v>283</v>
      </c>
      <c r="AD33" s="128"/>
      <c r="AE33" s="220"/>
      <c r="AF33" s="137"/>
      <c r="AG33" s="138"/>
      <c r="AH33" s="139"/>
      <c r="AI33" s="225"/>
      <c r="AJ33" s="137"/>
      <c r="AK33" s="138"/>
      <c r="AL33" s="138"/>
      <c r="AM33" s="139"/>
      <c r="AN33" s="225"/>
      <c r="AO33" s="48"/>
      <c r="AP33" s="7"/>
      <c r="AQ33" s="38"/>
      <c r="AR33" s="7"/>
      <c r="AS33" s="38"/>
      <c r="AT33" s="7"/>
      <c r="AU33" s="38"/>
      <c r="AV33" s="7"/>
      <c r="AW33" s="38"/>
      <c r="AX33" s="7"/>
      <c r="AY33" s="38"/>
      <c r="AZ33" s="10"/>
    </row>
    <row r="34" spans="1:52" ht="12.75" customHeight="1" thickBot="1">
      <c r="A34" s="6" t="s">
        <v>46</v>
      </c>
      <c r="B34" s="560"/>
      <c r="C34" s="24" t="s">
        <v>58</v>
      </c>
      <c r="D34" s="6" t="s">
        <v>95</v>
      </c>
      <c r="E34" s="540"/>
      <c r="F34" s="540"/>
      <c r="G34" s="540"/>
      <c r="H34" s="542"/>
      <c r="I34" s="833" t="s">
        <v>128</v>
      </c>
      <c r="J34" s="837"/>
      <c r="K34" s="314"/>
      <c r="L34" s="830" t="s">
        <v>123</v>
      </c>
      <c r="M34" s="838"/>
      <c r="N34" s="838"/>
      <c r="O34" s="839"/>
      <c r="P34" s="837" t="s">
        <v>129</v>
      </c>
      <c r="Q34" s="834"/>
      <c r="R34" s="833" t="s">
        <v>119</v>
      </c>
      <c r="S34" s="837"/>
      <c r="T34" s="732" t="s">
        <v>800</v>
      </c>
      <c r="U34" s="311"/>
      <c r="V34" s="311"/>
      <c r="W34" s="311"/>
      <c r="X34" s="312"/>
      <c r="Y34" s="3"/>
      <c r="Z34" s="3" t="s">
        <v>283</v>
      </c>
      <c r="AA34" s="18"/>
      <c r="AB34" s="216">
        <f>SUM(AB19:AB33)</f>
        <v>0</v>
      </c>
      <c r="AC34" s="186" t="s">
        <v>283</v>
      </c>
      <c r="AD34" s="189"/>
      <c r="AE34" s="221">
        <f>SUM(AE19:AE24,AE33)</f>
        <v>0</v>
      </c>
      <c r="AF34" s="857" t="s">
        <v>283</v>
      </c>
      <c r="AG34" s="858"/>
      <c r="AH34" s="859"/>
      <c r="AI34" s="226">
        <f>SUM(AI19:AI33)</f>
        <v>0</v>
      </c>
      <c r="AJ34" s="857" t="s">
        <v>283</v>
      </c>
      <c r="AK34" s="858"/>
      <c r="AL34" s="858"/>
      <c r="AM34" s="859"/>
      <c r="AN34" s="226">
        <f>SUM(AN19:AN33)</f>
        <v>0</v>
      </c>
      <c r="AO34" s="86"/>
      <c r="AP34" s="40"/>
      <c r="AQ34" s="87"/>
      <c r="AR34" s="40"/>
      <c r="AS34" s="87"/>
      <c r="AT34" s="40"/>
      <c r="AU34" s="87"/>
      <c r="AV34" s="40"/>
      <c r="AW34" s="87"/>
      <c r="AX34" s="40"/>
      <c r="AY34" s="87"/>
      <c r="AZ34" s="89"/>
    </row>
    <row r="35" spans="1:52" ht="13.5" customHeight="1" thickBot="1">
      <c r="A35" s="6" t="s">
        <v>47</v>
      </c>
      <c r="B35" s="560"/>
      <c r="C35" s="24" t="s">
        <v>59</v>
      </c>
      <c r="D35" s="6" t="s">
        <v>67</v>
      </c>
      <c r="E35" s="540"/>
      <c r="F35" s="540"/>
      <c r="G35" s="540"/>
      <c r="H35" s="540"/>
      <c r="I35" s="626"/>
      <c r="J35" s="627">
        <f>9+(Q11*-1)</f>
        <v>12</v>
      </c>
      <c r="K35" s="627"/>
      <c r="L35" s="727"/>
      <c r="M35" s="247"/>
      <c r="N35" s="247"/>
      <c r="O35" s="728"/>
      <c r="P35" s="106"/>
      <c r="Q35" s="294"/>
      <c r="R35" s="98"/>
      <c r="S35" s="99"/>
      <c r="T35" s="114" t="s">
        <v>136</v>
      </c>
      <c r="U35" s="263">
        <f>X3</f>
        <v>0</v>
      </c>
      <c r="V35" s="200">
        <f>U35-X16</f>
        <v>0</v>
      </c>
      <c r="W35" s="114" t="s">
        <v>801</v>
      </c>
      <c r="X35" s="261"/>
      <c r="Y35" s="201" t="s">
        <v>285</v>
      </c>
      <c r="Z35" s="3"/>
      <c r="AA35" s="2"/>
      <c r="AB35" s="193"/>
      <c r="AC35" s="208">
        <f>SUM(AB35*70)</f>
        <v>0</v>
      </c>
      <c r="AD35" s="858" t="s">
        <v>300</v>
      </c>
      <c r="AE35" s="858"/>
      <c r="AF35" s="858"/>
      <c r="AG35" s="858"/>
      <c r="AH35" s="858"/>
      <c r="AI35" s="858"/>
      <c r="AJ35" s="858"/>
      <c r="AK35" s="858"/>
      <c r="AL35" s="858"/>
      <c r="AM35" s="865"/>
      <c r="AN35" s="75"/>
      <c r="AO35" s="1" t="s">
        <v>308</v>
      </c>
      <c r="AP35" s="3"/>
      <c r="AQ35" s="84"/>
      <c r="AR35" s="2"/>
      <c r="AS35" s="84"/>
      <c r="AT35" s="2"/>
      <c r="AU35" s="84"/>
      <c r="AV35" s="2"/>
      <c r="AW35" s="84"/>
      <c r="AX35" s="2"/>
      <c r="AY35" s="84"/>
      <c r="AZ35" s="4"/>
    </row>
    <row r="36" spans="1:52" ht="12" thickBot="1">
      <c r="A36" s="6" t="s">
        <v>48</v>
      </c>
      <c r="B36" s="560"/>
      <c r="C36" s="24" t="s">
        <v>60</v>
      </c>
      <c r="D36" s="6" t="s">
        <v>68</v>
      </c>
      <c r="E36" s="540"/>
      <c r="F36" s="540"/>
      <c r="G36" s="540"/>
      <c r="H36" s="540"/>
      <c r="I36" s="636" t="s">
        <v>809</v>
      </c>
      <c r="J36" s="297"/>
      <c r="K36" s="729" t="s">
        <v>810</v>
      </c>
      <c r="L36" s="727"/>
      <c r="M36" s="247"/>
      <c r="N36" s="247"/>
      <c r="O36" s="728"/>
      <c r="P36" s="654">
        <f>IF(P35="TOWER",4,IF(P35="LARGE",3,IF(P35="Small",1,IF(P35="Buckler",1,IF(P35="Normal",2,0)))))</f>
        <v>0</v>
      </c>
      <c r="Q36" s="656">
        <f>Q35+P36</f>
        <v>0</v>
      </c>
      <c r="R36" s="100"/>
      <c r="S36" s="101"/>
      <c r="T36" s="115" t="s">
        <v>137</v>
      </c>
      <c r="U36" s="264">
        <f>X3</f>
        <v>0</v>
      </c>
      <c r="V36" s="199">
        <f>U36-O42</f>
        <v>0</v>
      </c>
      <c r="W36" s="262">
        <f>X3</f>
        <v>0</v>
      </c>
      <c r="X36" s="265"/>
      <c r="Y36" s="202" t="s">
        <v>286</v>
      </c>
      <c r="Z36" s="8"/>
      <c r="AA36" s="11"/>
      <c r="AB36" s="213"/>
      <c r="AC36" s="209">
        <f>SUM(AB36*210)</f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08"/>
      <c r="AO36" s="19"/>
      <c r="AP36" s="9"/>
      <c r="AQ36" s="37"/>
      <c r="AR36" s="9"/>
      <c r="AS36" s="37"/>
      <c r="AT36" s="9"/>
      <c r="AU36" s="37"/>
      <c r="AV36" s="9"/>
      <c r="AW36" s="37"/>
      <c r="AX36" s="9"/>
      <c r="AY36" s="37"/>
      <c r="AZ36" s="12"/>
    </row>
    <row r="37" spans="1:52" ht="2.25" customHeight="1" thickBot="1">
      <c r="A37" s="13" t="e">
        <f>LARGE(B24:B36,1)</f>
        <v>#NUM!</v>
      </c>
      <c r="B37" s="551"/>
      <c r="C37" s="13" t="e">
        <f>LARGE(B24:B36,12)</f>
        <v>#NUM!</v>
      </c>
      <c r="D37" s="13"/>
      <c r="E37" s="551"/>
      <c r="F37" s="551"/>
      <c r="G37" s="541"/>
      <c r="H37" s="541"/>
      <c r="I37" s="638">
        <f>J35-P36-Q36-Q39</f>
        <v>12</v>
      </c>
      <c r="J37" s="296"/>
      <c r="K37" s="629">
        <f>J35-Q39</f>
        <v>12</v>
      </c>
      <c r="L37" s="100"/>
      <c r="M37" s="102"/>
      <c r="N37" s="102"/>
      <c r="O37" s="259"/>
      <c r="P37" s="835" t="s">
        <v>130</v>
      </c>
      <c r="Q37" s="836"/>
      <c r="R37" s="98"/>
      <c r="S37" s="99"/>
      <c r="T37" s="726" t="s">
        <v>173</v>
      </c>
      <c r="U37" s="52"/>
      <c r="V37" s="52"/>
      <c r="W37" s="52"/>
      <c r="X37" s="53"/>
      <c r="Y37" s="202"/>
      <c r="Z37" s="8"/>
      <c r="AA37" s="9"/>
      <c r="AB37" s="49"/>
      <c r="AC37" s="209">
        <f>SUM(AB37*70)</f>
        <v>0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227"/>
      <c r="AO37" s="20"/>
      <c r="AP37" s="11"/>
      <c r="AQ37" s="70"/>
      <c r="AR37" s="11"/>
      <c r="AS37" s="70"/>
      <c r="AT37" s="11"/>
      <c r="AU37" s="70"/>
      <c r="AV37" s="11"/>
      <c r="AW37" s="70"/>
      <c r="AX37" s="11"/>
      <c r="AY37" s="70"/>
      <c r="AZ37" s="17"/>
    </row>
    <row r="38" spans="1:52" ht="13.5" customHeight="1" thickBot="1">
      <c r="A38" s="34" t="s">
        <v>64</v>
      </c>
      <c r="B38" s="35"/>
      <c r="C38" s="67" t="s">
        <v>813</v>
      </c>
      <c r="D38" s="308" t="s">
        <v>806</v>
      </c>
      <c r="E38" s="36" t="s">
        <v>806</v>
      </c>
      <c r="F38" s="52" t="s">
        <v>98</v>
      </c>
      <c r="G38" s="231"/>
      <c r="H38" s="53" t="s">
        <v>99</v>
      </c>
      <c r="I38" s="638"/>
      <c r="J38" s="296"/>
      <c r="K38" s="629"/>
      <c r="L38" s="100"/>
      <c r="M38" s="102"/>
      <c r="N38" s="102"/>
      <c r="O38" s="259"/>
      <c r="P38" s="734"/>
      <c r="Q38" s="735"/>
      <c r="R38" s="100"/>
      <c r="S38" s="101"/>
      <c r="T38" s="736"/>
      <c r="U38" s="44"/>
      <c r="V38" s="44"/>
      <c r="W38" s="44"/>
      <c r="X38" s="737"/>
      <c r="Y38" s="202" t="s">
        <v>287</v>
      </c>
      <c r="Z38" s="8"/>
      <c r="AA38" s="9"/>
      <c r="AB38" s="49"/>
      <c r="AC38" s="209">
        <f>SUM(AB38*7)</f>
        <v>0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210"/>
      <c r="AO38" s="19"/>
      <c r="AP38" s="9"/>
      <c r="AQ38" s="37"/>
      <c r="AR38" s="9"/>
      <c r="AS38" s="37"/>
      <c r="AT38" s="9"/>
      <c r="AU38" s="37"/>
      <c r="AV38" s="9"/>
      <c r="AW38" s="37"/>
      <c r="AX38" s="9"/>
      <c r="AY38" s="37"/>
      <c r="AZ38" s="12"/>
    </row>
    <row r="39" spans="1:52" ht="13.5" customHeight="1">
      <c r="A39" s="107" t="s">
        <v>876</v>
      </c>
      <c r="B39" s="546"/>
      <c r="C39" s="562"/>
      <c r="D39" s="563"/>
      <c r="E39" s="564"/>
      <c r="F39" s="558"/>
      <c r="G39" s="306">
        <f>IF(F39="ST",M7+D39+E39,IF(F39="IN",M8+D39+E39,IF(F39="WI",M10+D39+E39,IF(F39="DX",M11+D39+E39,IF(F39="CO",M12+D39+E39,IF(F39="CH",M14+D39+E39,IF(F39="CM",M15+D39+E39,0)))))))</f>
        <v>0</v>
      </c>
      <c r="H39" s="301">
        <f>IF(G39&gt;18,18,IF(G39=0,0,IF(F39&lt;3,3,G39)))</f>
        <v>0</v>
      </c>
      <c r="I39" s="313" t="s">
        <v>131</v>
      </c>
      <c r="J39" s="742"/>
      <c r="K39" s="314" t="s">
        <v>836</v>
      </c>
      <c r="L39" s="100"/>
      <c r="M39" s="102"/>
      <c r="N39" s="102"/>
      <c r="O39" s="259"/>
      <c r="P39" s="246"/>
      <c r="Q39" s="259"/>
      <c r="R39" s="98"/>
      <c r="S39" s="99"/>
      <c r="T39" s="725" t="s">
        <v>195</v>
      </c>
      <c r="U39" s="51"/>
      <c r="V39" s="51"/>
      <c r="W39" s="51"/>
      <c r="X39" s="310"/>
      <c r="Y39" s="202" t="s">
        <v>288</v>
      </c>
      <c r="Z39" s="8"/>
      <c r="AA39" s="9"/>
      <c r="AB39" s="49"/>
      <c r="AC39" s="209">
        <f>SUM(AB39*140)</f>
        <v>0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210"/>
      <c r="AO39" s="19"/>
      <c r="AP39" s="9"/>
      <c r="AQ39" s="37"/>
      <c r="AR39" s="9"/>
      <c r="AS39" s="37"/>
      <c r="AT39" s="9"/>
      <c r="AU39" s="37"/>
      <c r="AV39" s="9"/>
      <c r="AW39" s="37"/>
      <c r="AX39" s="9"/>
      <c r="AY39" s="37"/>
      <c r="AZ39" s="12"/>
    </row>
    <row r="40" spans="1:52" ht="12" thickBot="1">
      <c r="A40" s="552"/>
      <c r="B40" s="541"/>
      <c r="C40" s="565"/>
      <c r="D40" s="566"/>
      <c r="E40" s="567"/>
      <c r="F40" s="560"/>
      <c r="G40" s="304">
        <f>IF(F40="ST",M7+D40+E40,IF(F40="IN",M8+D40+E40,IF(F40="WI",M10+D40+E40,IF(F40="DX",M11+D40+E40,IF(F40="CO",M12+D40+E40,IF(F40="CH",M14+D40+E40,IF(F40="CM",M15+D40+E40,0)))))))</f>
        <v>0</v>
      </c>
      <c r="H40" s="307">
        <f aca="true" t="shared" si="2" ref="H40:H48">IF(G40&gt;18,18,IF(G40=0,0,IF(F40&lt;3,3,G40)))</f>
        <v>0</v>
      </c>
      <c r="I40" s="635"/>
      <c r="J40" s="171"/>
      <c r="K40" s="730" t="s">
        <v>123</v>
      </c>
      <c r="L40" s="100"/>
      <c r="M40" s="102"/>
      <c r="N40" s="102"/>
      <c r="O40" s="259"/>
      <c r="P40" s="246" t="s">
        <v>839</v>
      </c>
      <c r="Q40" s="259"/>
      <c r="R40" s="100"/>
      <c r="S40" s="101"/>
      <c r="T40" s="6" t="s">
        <v>179</v>
      </c>
      <c r="U40" s="8"/>
      <c r="V40" s="671">
        <f>SUM(U3/2)+Q7+Q11+9</f>
        <v>3</v>
      </c>
      <c r="W40" s="8"/>
      <c r="X40" s="29" t="s">
        <v>174</v>
      </c>
      <c r="Y40" s="202" t="s">
        <v>289</v>
      </c>
      <c r="Z40" s="8"/>
      <c r="AA40" s="9"/>
      <c r="AB40" s="49"/>
      <c r="AC40" s="209">
        <f>SUM(AB40*30)</f>
        <v>0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210"/>
      <c r="AO40" s="21"/>
      <c r="AP40" s="14"/>
      <c r="AQ40" s="85"/>
      <c r="AR40" s="14"/>
      <c r="AS40" s="85"/>
      <c r="AT40" s="14"/>
      <c r="AU40" s="85"/>
      <c r="AV40" s="14"/>
      <c r="AW40" s="85"/>
      <c r="AX40" s="14"/>
      <c r="AY40" s="85"/>
      <c r="AZ40" s="15"/>
    </row>
    <row r="41" spans="1:52" ht="12" thickBot="1">
      <c r="A41" s="552"/>
      <c r="B41" s="541"/>
      <c r="C41" s="565"/>
      <c r="D41" s="566"/>
      <c r="E41" s="567"/>
      <c r="F41" s="560"/>
      <c r="G41" s="304">
        <f>IF(F41="ST",M7+D41+E41,IF(F41="IN",M8+D41+E41,IF(F41="WI",M10+D41+E41,IF(F41="DX",M11+D41+E41,IF(F41="CO",M12+D41+E41,IF(F41="CH",M14+D41+E41,IF(F41="CM",M15+D41+E41,0)))))))</f>
        <v>0</v>
      </c>
      <c r="H41" s="275">
        <f t="shared" si="2"/>
        <v>0</v>
      </c>
      <c r="I41" s="626"/>
      <c r="J41" s="627">
        <f>IF(P39="Suit Mail",9,IF(P39="Plate Mail",6,IF(P39="Chain Mail",4,IF(P39="Banded",5,IF(P39="Leather",2,IF(P39="Cuir Bouilly",3,0))))))</f>
        <v>0</v>
      </c>
      <c r="K41" s="229" t="s">
        <v>130</v>
      </c>
      <c r="L41" s="727"/>
      <c r="M41" s="247"/>
      <c r="N41" s="247"/>
      <c r="O41" s="260"/>
      <c r="P41" s="740" t="s">
        <v>840</v>
      </c>
      <c r="Q41" s="741"/>
      <c r="R41" s="98"/>
      <c r="S41" s="106"/>
      <c r="T41" s="6" t="s">
        <v>178</v>
      </c>
      <c r="U41" s="8"/>
      <c r="V41" s="672">
        <f>V40-J41</f>
        <v>3</v>
      </c>
      <c r="W41" s="8"/>
      <c r="X41" s="29" t="s">
        <v>175</v>
      </c>
      <c r="Y41" s="202" t="s">
        <v>290</v>
      </c>
      <c r="Z41" s="8"/>
      <c r="AA41" s="9"/>
      <c r="AB41" s="49"/>
      <c r="AC41" s="209">
        <f>SUM(AB41*30)</f>
        <v>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10"/>
      <c r="AO41" s="1" t="s">
        <v>309</v>
      </c>
      <c r="AP41" s="3"/>
      <c r="AQ41" s="88"/>
      <c r="AR41" s="3"/>
      <c r="AS41" s="84"/>
      <c r="AT41" s="2"/>
      <c r="AU41" s="84"/>
      <c r="AV41" s="2"/>
      <c r="AW41" s="84"/>
      <c r="AX41" s="2"/>
      <c r="AY41" s="84"/>
      <c r="AZ41" s="4"/>
    </row>
    <row r="42" spans="1:52" ht="12" thickBot="1">
      <c r="A42" s="552"/>
      <c r="B42" s="541"/>
      <c r="C42" s="565"/>
      <c r="D42" s="566"/>
      <c r="E42" s="567"/>
      <c r="F42" s="560"/>
      <c r="G42" s="304">
        <f>IF(F42="ST",M7+D42+E42,IF(F42="IN",M8+D42+E42,IF(F42="WI",M10+D42+E42,IF(F42="DX",M11+D42+E42,IF(F42="CO",M12+D42+E42,IF(F42="CH",M14+D42+E42,IF(F42="CM",M15+D42+E42,0)))))))</f>
        <v>0</v>
      </c>
      <c r="H42" s="275">
        <f t="shared" si="2"/>
        <v>0</v>
      </c>
      <c r="I42" s="640"/>
      <c r="J42" s="630">
        <f>J39+J40+J41</f>
        <v>0</v>
      </c>
      <c r="K42" s="731" t="s">
        <v>283</v>
      </c>
      <c r="L42" s="103"/>
      <c r="M42" s="105"/>
      <c r="N42" s="105"/>
      <c r="O42" s="656">
        <f>SUM(O35:O41,Q36)</f>
        <v>0</v>
      </c>
      <c r="P42" s="655"/>
      <c r="Q42" s="656">
        <f>SUM(Q39:Q41)</f>
        <v>0</v>
      </c>
      <c r="R42" s="103"/>
      <c r="S42" s="104"/>
      <c r="T42" s="32"/>
      <c r="U42" s="35" t="s">
        <v>180</v>
      </c>
      <c r="V42" s="36"/>
      <c r="W42" s="9" t="s">
        <v>182</v>
      </c>
      <c r="X42" s="29" t="s">
        <v>176</v>
      </c>
      <c r="Y42" s="202" t="s">
        <v>291</v>
      </c>
      <c r="Z42" s="8"/>
      <c r="AA42" s="9"/>
      <c r="AB42" s="49"/>
      <c r="AC42" s="209">
        <f>SUM(AB42*10)</f>
        <v>0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210"/>
      <c r="AO42" s="19"/>
      <c r="AP42" s="9"/>
      <c r="AQ42" s="37"/>
      <c r="AR42" s="9"/>
      <c r="AS42" s="37"/>
      <c r="AT42" s="9"/>
      <c r="AU42" s="37"/>
      <c r="AV42" s="9"/>
      <c r="AW42" s="37"/>
      <c r="AX42" s="9"/>
      <c r="AY42" s="37"/>
      <c r="AZ42" s="12"/>
    </row>
    <row r="43" spans="1:52" ht="12" thickBot="1">
      <c r="A43" s="552"/>
      <c r="B43" s="541"/>
      <c r="C43" s="565"/>
      <c r="D43" s="566"/>
      <c r="E43" s="567"/>
      <c r="F43" s="560"/>
      <c r="G43" s="304">
        <f>IF(F43="ST",M7+D43+E43,IF(F43="IN",M8+D43+E43,IF(F43="WI",M10+D43+E43,IF(F43="DX",M11+D43+E43,IF(F43="CO",M12+D43+E43,IF(F43="CH",M14+D43+E43,IF(F43="CM",M15+D43+E43,0)))))))</f>
        <v>0</v>
      </c>
      <c r="H43" s="275">
        <f t="shared" si="2"/>
        <v>0</v>
      </c>
      <c r="I43" s="198" t="s">
        <v>139</v>
      </c>
      <c r="J43" s="13" t="s">
        <v>782</v>
      </c>
      <c r="K43" s="72" t="str">
        <f>IF(G5="Fighter","1d8",IF(G5="Cleric","1d6","1d4"))</f>
        <v>1d4</v>
      </c>
      <c r="L43" s="198" t="s">
        <v>5</v>
      </c>
      <c r="M43" s="72" t="s">
        <v>140</v>
      </c>
      <c r="N43" s="13" t="s">
        <v>141</v>
      </c>
      <c r="O43" s="36"/>
      <c r="P43" s="34" t="s">
        <v>154</v>
      </c>
      <c r="Q43" s="36"/>
      <c r="R43" s="35" t="s">
        <v>144</v>
      </c>
      <c r="S43" s="35"/>
      <c r="T43" s="21"/>
      <c r="U43" s="26" t="s">
        <v>181</v>
      </c>
      <c r="V43" s="26"/>
      <c r="W43" s="14" t="s">
        <v>183</v>
      </c>
      <c r="X43" s="30" t="s">
        <v>177</v>
      </c>
      <c r="Y43" s="202" t="s">
        <v>292</v>
      </c>
      <c r="Z43" s="8"/>
      <c r="AA43" s="9"/>
      <c r="AB43" s="49"/>
      <c r="AC43" s="209">
        <f>SUM(AB43*10)</f>
        <v>0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210"/>
      <c r="AO43" s="19"/>
      <c r="AP43" s="9"/>
      <c r="AQ43" s="37"/>
      <c r="AR43" s="9"/>
      <c r="AS43" s="37"/>
      <c r="AT43" s="9"/>
      <c r="AU43" s="37"/>
      <c r="AV43" s="9"/>
      <c r="AW43" s="37"/>
      <c r="AX43" s="9"/>
      <c r="AY43" s="37"/>
      <c r="AZ43" s="12"/>
    </row>
    <row r="44" spans="1:52" ht="12" thickBot="1">
      <c r="A44" s="553"/>
      <c r="B44" s="551"/>
      <c r="C44" s="568"/>
      <c r="D44" s="569"/>
      <c r="E44" s="570"/>
      <c r="F44" s="571"/>
      <c r="G44" s="305">
        <f>IF(F44="ST",M7+D44+E44,IF(F44="IN",M8+D44+E44,IF(F44="WI",M10+D44+E44,IF(F44="DX",M11+D44+E44,IF(F44="CO",M12+D44+E44,IF(F44="CH",M14+D44+E44,IF(F44="CM",M15+D44+E44,0)))))))</f>
        <v>0</v>
      </c>
      <c r="H44" s="637">
        <f t="shared" si="2"/>
        <v>0</v>
      </c>
      <c r="I44" s="8">
        <v>1</v>
      </c>
      <c r="J44" s="49"/>
      <c r="K44" s="49"/>
      <c r="L44" s="642">
        <f>IF(W4="Rake",Q12*2,Q12)</f>
        <v>-3</v>
      </c>
      <c r="M44" s="643">
        <f>J44+L44</f>
        <v>-3</v>
      </c>
      <c r="N44" s="164" t="s">
        <v>142</v>
      </c>
      <c r="O44" s="653" t="str">
        <f>IF(W4="Cleric",Immortal,IF(W4="Mage",W4,IF(W4="Fighter-Mage","Magic",IF(W4="Paladin","Immortal","NONE"))))</f>
        <v>NONE</v>
      </c>
      <c r="P44" s="1" t="s">
        <v>155</v>
      </c>
      <c r="Q44" s="4"/>
      <c r="R44" s="44" t="s">
        <v>145</v>
      </c>
      <c r="S44" s="733">
        <v>0</v>
      </c>
      <c r="V44" s="34" t="s">
        <v>168</v>
      </c>
      <c r="W44" s="35"/>
      <c r="X44" s="36"/>
      <c r="Y44" s="202" t="s">
        <v>293</v>
      </c>
      <c r="Z44" s="8"/>
      <c r="AA44" s="9"/>
      <c r="AB44" s="49"/>
      <c r="AC44" s="209">
        <f>SUM(AB44*10)</f>
        <v>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211"/>
      <c r="AO44" s="19"/>
      <c r="AP44" s="9"/>
      <c r="AQ44" s="37"/>
      <c r="AR44" s="9"/>
      <c r="AS44" s="37"/>
      <c r="AT44" s="9"/>
      <c r="AU44" s="37"/>
      <c r="AV44" s="9"/>
      <c r="AW44" s="37"/>
      <c r="AX44" s="9"/>
      <c r="AY44" s="37"/>
      <c r="AZ44" s="12"/>
    </row>
    <row r="45" spans="1:52" ht="12" thickBot="1">
      <c r="A45" s="547"/>
      <c r="B45" s="572"/>
      <c r="C45" s="573"/>
      <c r="D45" s="566"/>
      <c r="E45" s="567"/>
      <c r="F45" s="560"/>
      <c r="G45" s="304">
        <f>IF(F45="ST",M7+D45+E45,IF(F45="IN",M8+D45+E45,IF(F45="WI",M10+D45+E45,IF(F45="DX",M11+D45+E45,IF(F45="CO",M12+D45+E45,IF(F45="CH",M14+D45+E45,IF(F45="CM",M15+D45+E45,0)))))))</f>
        <v>0</v>
      </c>
      <c r="H45" s="307">
        <f t="shared" si="2"/>
        <v>0</v>
      </c>
      <c r="I45" s="8">
        <v>2</v>
      </c>
      <c r="J45" s="49"/>
      <c r="K45" s="49"/>
      <c r="L45" s="642">
        <f>Q12</f>
        <v>-3</v>
      </c>
      <c r="M45" s="643">
        <f aca="true" t="shared" si="3" ref="M45:M52">J45+L45+M44</f>
        <v>-6</v>
      </c>
      <c r="N45" s="41">
        <v>1</v>
      </c>
      <c r="O45" s="12"/>
      <c r="P45" s="6" t="s">
        <v>156</v>
      </c>
      <c r="Q45" s="12"/>
      <c r="R45" s="44" t="s">
        <v>146</v>
      </c>
      <c r="S45" s="733">
        <f>7+Q11</f>
        <v>4</v>
      </c>
      <c r="V45" s="42">
        <v>1</v>
      </c>
      <c r="W45" s="2"/>
      <c r="X45" s="4"/>
      <c r="Y45" s="202" t="s">
        <v>294</v>
      </c>
      <c r="Z45" s="8"/>
      <c r="AA45" s="9"/>
      <c r="AB45" s="49"/>
      <c r="AC45" s="209">
        <f>SUM(AB45*4)</f>
        <v>0</v>
      </c>
      <c r="AD45" s="858" t="s">
        <v>283</v>
      </c>
      <c r="AE45" s="858"/>
      <c r="AF45" s="858"/>
      <c r="AG45" s="858"/>
      <c r="AH45" s="858"/>
      <c r="AI45" s="858"/>
      <c r="AJ45" s="858"/>
      <c r="AK45" s="858"/>
      <c r="AL45" s="858"/>
      <c r="AM45" s="865"/>
      <c r="AN45" s="212">
        <f>SUM(AN36:AN44)</f>
        <v>0</v>
      </c>
      <c r="AO45" s="21"/>
      <c r="AP45" s="14"/>
      <c r="AQ45" s="85"/>
      <c r="AR45" s="14"/>
      <c r="AS45" s="85"/>
      <c r="AT45" s="14"/>
      <c r="AU45" s="85"/>
      <c r="AV45" s="14"/>
      <c r="AW45" s="85"/>
      <c r="AX45" s="14"/>
      <c r="AY45" s="85"/>
      <c r="AZ45" s="15"/>
    </row>
    <row r="46" spans="1:52" ht="12" thickBot="1">
      <c r="A46" s="547"/>
      <c r="B46" s="572"/>
      <c r="C46" s="573"/>
      <c r="D46" s="566"/>
      <c r="E46" s="567"/>
      <c r="F46" s="560"/>
      <c r="G46" s="304">
        <f>IF(F46="ST",M7+D46+E46,IF(F46="IN",M8+D46+E46,IF(F46="WI",M10+D46+E46,IF(F46="DX",M11+D46+E46,IF(F46="CO",M12+D46+E46,IF(F46="CH",M14+D46+E46,IF(F46="CM",M15+D46+E46,0)))))))</f>
        <v>0</v>
      </c>
      <c r="H46" s="307">
        <f t="shared" si="2"/>
        <v>0</v>
      </c>
      <c r="I46" s="8">
        <v>3</v>
      </c>
      <c r="J46" s="49"/>
      <c r="K46" s="49"/>
      <c r="L46" s="642">
        <f>Q12</f>
        <v>-3</v>
      </c>
      <c r="M46" s="643">
        <f t="shared" si="3"/>
        <v>-9</v>
      </c>
      <c r="N46" s="41">
        <v>2</v>
      </c>
      <c r="O46" s="12"/>
      <c r="P46" s="6" t="s">
        <v>157</v>
      </c>
      <c r="Q46" s="12"/>
      <c r="R46" s="44" t="s">
        <v>147</v>
      </c>
      <c r="S46" s="733">
        <f>7+Q11</f>
        <v>4</v>
      </c>
      <c r="V46" s="41">
        <v>2</v>
      </c>
      <c r="W46" s="9"/>
      <c r="X46" s="12"/>
      <c r="Y46" s="202" t="s">
        <v>295</v>
      </c>
      <c r="Z46" s="8"/>
      <c r="AA46" s="9"/>
      <c r="AB46" s="49"/>
      <c r="AC46" s="209">
        <f>SUM(AB46*5)</f>
        <v>0</v>
      </c>
      <c r="AD46" s="858" t="s">
        <v>301</v>
      </c>
      <c r="AE46" s="858"/>
      <c r="AF46" s="858"/>
      <c r="AG46" s="858"/>
      <c r="AH46" s="858"/>
      <c r="AI46" s="858"/>
      <c r="AJ46" s="858"/>
      <c r="AK46" s="858"/>
      <c r="AL46" s="858"/>
      <c r="AM46" s="865"/>
      <c r="AN46" s="75"/>
      <c r="AO46" s="34" t="s">
        <v>311</v>
      </c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6"/>
    </row>
    <row r="47" spans="1:52" ht="11.25">
      <c r="A47" s="547"/>
      <c r="B47" s="572"/>
      <c r="C47" s="573"/>
      <c r="D47" s="566"/>
      <c r="E47" s="567"/>
      <c r="F47" s="560"/>
      <c r="G47" s="304">
        <f>IF(F47="ST",M7+D47+E47,IF(F47="IN",M8+D47+E47,IF(F47="WI",M10+D47+E47,IF(F47="DX",M11+D47+E47,IF(F47="CO",M12+D47+E47,IF(F47="CH",M14+D47+E47,IF(F47="CM",M15+D47+E47,0)))))))</f>
        <v>0</v>
      </c>
      <c r="H47" s="307">
        <f t="shared" si="2"/>
        <v>0</v>
      </c>
      <c r="I47" s="8">
        <v>4</v>
      </c>
      <c r="J47" s="49"/>
      <c r="K47" s="49"/>
      <c r="L47" s="642">
        <f>Q12</f>
        <v>-3</v>
      </c>
      <c r="M47" s="643">
        <f t="shared" si="3"/>
        <v>-12</v>
      </c>
      <c r="N47" s="41">
        <v>3</v>
      </c>
      <c r="O47" s="12"/>
      <c r="P47" s="6" t="s">
        <v>158</v>
      </c>
      <c r="Q47" s="12"/>
      <c r="R47" s="44" t="s">
        <v>148</v>
      </c>
      <c r="S47" s="733">
        <f>7+Q11</f>
        <v>4</v>
      </c>
      <c r="V47" s="41">
        <v>3</v>
      </c>
      <c r="W47" s="9"/>
      <c r="X47" s="12"/>
      <c r="Y47" s="202" t="s">
        <v>296</v>
      </c>
      <c r="Z47" s="8"/>
      <c r="AA47" s="9"/>
      <c r="AB47" s="49"/>
      <c r="AC47" s="209">
        <f>SUM(AB47*50)</f>
        <v>0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210"/>
      <c r="AO47" s="1" t="s">
        <v>277</v>
      </c>
      <c r="AP47" s="4"/>
      <c r="AQ47" s="1" t="s">
        <v>312</v>
      </c>
      <c r="AR47" s="4"/>
      <c r="AS47" s="1" t="s">
        <v>312</v>
      </c>
      <c r="AT47" s="4"/>
      <c r="AU47" s="1" t="s">
        <v>313</v>
      </c>
      <c r="AV47" s="4"/>
      <c r="AW47" s="1" t="s">
        <v>313</v>
      </c>
      <c r="AX47" s="4"/>
      <c r="AY47" s="1" t="s">
        <v>117</v>
      </c>
      <c r="AZ47" s="4"/>
    </row>
    <row r="48" spans="1:52" ht="13.5" customHeight="1" thickBot="1">
      <c r="A48" s="547"/>
      <c r="B48" s="572"/>
      <c r="C48" s="573"/>
      <c r="D48" s="566"/>
      <c r="E48" s="567"/>
      <c r="F48" s="560"/>
      <c r="G48" s="304">
        <f>IF(F48="ST",M7+D48+E48,IF(F48="IN",M8+D48+E48,IF(F48="WI",M10+D48+E48,IF(F48="DX",M11+D48+E48,IF(F48="CO",M12+D48+E48,IF(F48="CH",M14+D48+E48,IF(F48="CM",M15+D48+E48,0)))))))</f>
        <v>0</v>
      </c>
      <c r="H48" s="307">
        <f t="shared" si="2"/>
        <v>0</v>
      </c>
      <c r="I48" s="8">
        <v>5</v>
      </c>
      <c r="J48" s="49"/>
      <c r="K48" s="49"/>
      <c r="L48" s="642">
        <f>Q12</f>
        <v>-3</v>
      </c>
      <c r="M48" s="643">
        <f t="shared" si="3"/>
        <v>-15</v>
      </c>
      <c r="N48" s="41">
        <v>4</v>
      </c>
      <c r="O48" s="12"/>
      <c r="P48" s="6" t="s">
        <v>159</v>
      </c>
      <c r="Q48" s="12"/>
      <c r="R48" s="44" t="s">
        <v>149</v>
      </c>
      <c r="S48" s="733">
        <f>7+Q11</f>
        <v>4</v>
      </c>
      <c r="V48" s="54">
        <v>4</v>
      </c>
      <c r="W48" s="14"/>
      <c r="X48" s="15"/>
      <c r="Y48" s="202" t="s">
        <v>297</v>
      </c>
      <c r="Z48" s="8"/>
      <c r="AA48" s="9"/>
      <c r="AB48" s="49"/>
      <c r="AC48" s="209">
        <f>SUM(AB48*5)</f>
        <v>0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210"/>
      <c r="AO48" s="6" t="s">
        <v>278</v>
      </c>
      <c r="AP48" s="12"/>
      <c r="AQ48" s="19"/>
      <c r="AR48" s="12"/>
      <c r="AS48" s="19"/>
      <c r="AT48" s="12"/>
      <c r="AU48" s="19"/>
      <c r="AV48" s="12"/>
      <c r="AW48" s="19"/>
      <c r="AX48" s="12"/>
      <c r="AY48" s="19"/>
      <c r="AZ48" s="12"/>
    </row>
    <row r="49" spans="1:52" ht="11.25" customHeight="1">
      <c r="A49" s="549"/>
      <c r="B49" s="540"/>
      <c r="C49" s="574"/>
      <c r="D49" s="566"/>
      <c r="E49" s="567"/>
      <c r="F49" s="560"/>
      <c r="G49" s="304">
        <f>IF(F49="ST",M7+D49+E49,IF(F49="IN",M8+D49+E49,IF(F49="WI",M10+D49+E49,IF(F49="DX",M11+D49+E49,IF(F49="CO",M12+D49+E49,IF(F49="CH",M14+D49+E49,IF(F49="CM",M15+D49+E49,0)))))))</f>
        <v>0</v>
      </c>
      <c r="H49" s="307">
        <f>IF(G49&gt;18,18,IF(G49=0,0,IF(F49&lt;3,3,G49)))</f>
        <v>0</v>
      </c>
      <c r="I49" s="8">
        <v>6</v>
      </c>
      <c r="J49" s="49"/>
      <c r="K49" s="49"/>
      <c r="L49" s="642">
        <f>Q12</f>
        <v>-3</v>
      </c>
      <c r="M49" s="643">
        <f t="shared" si="3"/>
        <v>-18</v>
      </c>
      <c r="N49" s="41">
        <v>5</v>
      </c>
      <c r="O49" s="12"/>
      <c r="P49" s="6" t="s">
        <v>160</v>
      </c>
      <c r="Q49" s="12"/>
      <c r="R49" s="44" t="s">
        <v>150</v>
      </c>
      <c r="S49" s="733">
        <f>7+Q11</f>
        <v>4</v>
      </c>
      <c r="V49" s="1" t="s">
        <v>169</v>
      </c>
      <c r="W49" s="2"/>
      <c r="X49" s="4"/>
      <c r="Y49" s="202" t="s">
        <v>298</v>
      </c>
      <c r="Z49" s="8"/>
      <c r="AA49" s="9"/>
      <c r="AB49" s="49"/>
      <c r="AC49" s="209">
        <f>SUM(AB49*30)</f>
        <v>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210"/>
      <c r="AO49" s="6" t="s">
        <v>279</v>
      </c>
      <c r="AP49" s="12"/>
      <c r="AQ49" s="19"/>
      <c r="AR49" s="12"/>
      <c r="AS49" s="19"/>
      <c r="AT49" s="12"/>
      <c r="AU49" s="19"/>
      <c r="AV49" s="12"/>
      <c r="AW49" s="19"/>
      <c r="AX49" s="12"/>
      <c r="AY49" s="19"/>
      <c r="AZ49" s="12"/>
    </row>
    <row r="50" spans="1:52" ht="13.5" customHeight="1" thickBot="1">
      <c r="A50" s="575"/>
      <c r="B50" s="551"/>
      <c r="C50" s="576"/>
      <c r="D50" s="566"/>
      <c r="E50" s="567"/>
      <c r="F50" s="560"/>
      <c r="G50" s="304">
        <f>IF(F50="ST",M7+D50+E50,IF(F50="IN",M8+D50+E50,IF(F50="WI",M10+D50+E50,IF(F50="DX",M11+D50+E50,IF(F50="CO",M12+D50+E50,IF(F50="CH",M14+D50+E50,IF(F50="CM",M15+D50+E50,0)))))))</f>
        <v>0</v>
      </c>
      <c r="H50" s="307">
        <f>IF(G50&gt;18,18,IF(G50=0,0,IF(F50&lt;3,3,G50)))</f>
        <v>0</v>
      </c>
      <c r="I50" s="8">
        <v>7</v>
      </c>
      <c r="J50" s="49"/>
      <c r="K50" s="49"/>
      <c r="L50" s="642">
        <f>Q12</f>
        <v>-3</v>
      </c>
      <c r="M50" s="643">
        <f t="shared" si="3"/>
        <v>-21</v>
      </c>
      <c r="N50" s="41">
        <v>6</v>
      </c>
      <c r="O50" s="12"/>
      <c r="P50" s="6" t="s">
        <v>161</v>
      </c>
      <c r="Q50" s="12"/>
      <c r="R50" s="44" t="s">
        <v>151</v>
      </c>
      <c r="S50" s="733">
        <f>30+Q11</f>
        <v>27</v>
      </c>
      <c r="V50" s="6" t="s">
        <v>170</v>
      </c>
      <c r="W50" s="9"/>
      <c r="X50" s="12"/>
      <c r="Y50" s="202" t="s">
        <v>299</v>
      </c>
      <c r="Z50" s="8"/>
      <c r="AA50" s="9"/>
      <c r="AB50" s="49"/>
      <c r="AC50" s="209">
        <f>SUM(AB50*20)</f>
        <v>0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210"/>
      <c r="AO50" s="6" t="s">
        <v>280</v>
      </c>
      <c r="AP50" s="12"/>
      <c r="AQ50" s="19"/>
      <c r="AR50" s="12"/>
      <c r="AS50" s="19"/>
      <c r="AT50" s="12"/>
      <c r="AU50" s="19"/>
      <c r="AV50" s="12"/>
      <c r="AW50" s="19"/>
      <c r="AX50" s="12"/>
      <c r="AY50" s="19"/>
      <c r="AZ50" s="12"/>
    </row>
    <row r="51" spans="1:52" ht="12" thickBot="1">
      <c r="A51" s="34" t="s">
        <v>100</v>
      </c>
      <c r="B51" s="36"/>
      <c r="C51" s="34" t="s">
        <v>99</v>
      </c>
      <c r="D51" s="308" t="s">
        <v>806</v>
      </c>
      <c r="E51" s="36" t="s">
        <v>806</v>
      </c>
      <c r="F51" s="53" t="s">
        <v>98</v>
      </c>
      <c r="G51" s="231"/>
      <c r="H51" s="53" t="s">
        <v>99</v>
      </c>
      <c r="I51" s="8">
        <v>8</v>
      </c>
      <c r="J51" s="49"/>
      <c r="K51" s="49"/>
      <c r="L51" s="642">
        <f>Q12</f>
        <v>-3</v>
      </c>
      <c r="M51" s="643">
        <f t="shared" si="3"/>
        <v>-24</v>
      </c>
      <c r="N51" s="41">
        <v>7</v>
      </c>
      <c r="O51" s="12"/>
      <c r="P51" s="6" t="s">
        <v>162</v>
      </c>
      <c r="Q51" s="12"/>
      <c r="R51" s="44" t="s">
        <v>152</v>
      </c>
      <c r="S51" s="733">
        <v>0</v>
      </c>
      <c r="V51" s="6" t="s">
        <v>171</v>
      </c>
      <c r="W51" s="9"/>
      <c r="X51" s="10"/>
      <c r="Y51" s="23"/>
      <c r="Z51" s="23"/>
      <c r="AA51" s="9"/>
      <c r="AB51" s="49"/>
      <c r="AC51" s="210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210"/>
      <c r="AO51" s="6" t="s">
        <v>281</v>
      </c>
      <c r="AP51" s="12"/>
      <c r="AQ51" s="19"/>
      <c r="AR51" s="12"/>
      <c r="AS51" s="19"/>
      <c r="AT51" s="12"/>
      <c r="AU51" s="19"/>
      <c r="AV51" s="12"/>
      <c r="AW51" s="19"/>
      <c r="AX51" s="12"/>
      <c r="AY51" s="19"/>
      <c r="AZ51" s="12"/>
    </row>
    <row r="52" spans="1:52" ht="12" thickBot="1">
      <c r="A52" s="111" t="str">
        <f>IF(F4&gt;=5,"New Skill Possible","Lvl 5")</f>
        <v>Lvl 5</v>
      </c>
      <c r="B52" s="145"/>
      <c r="C52" s="573"/>
      <c r="D52" s="577"/>
      <c r="E52" s="564"/>
      <c r="F52" s="560"/>
      <c r="G52" s="304">
        <f>IF(F52="ST",M7+D52+E52,IF(F52="IN",M8+D52+E52,IF(F52="WI",M10+D52+E52,IF(F52="DX",M11+D52+E52,IF(F52="CO",M12+D52+E52,IF(F52="CH",M14+D52+E52,IF(F52="CM",M15+D52+E52,0)))))))</f>
        <v>0</v>
      </c>
      <c r="H52" s="307">
        <f aca="true" t="shared" si="4" ref="H52:H59">IF(G52&gt;18,18,IF(G52=0,0,IF(F52&lt;3,3,G52)))</f>
        <v>0</v>
      </c>
      <c r="I52" s="13" t="s">
        <v>786</v>
      </c>
      <c r="J52" s="50"/>
      <c r="K52" s="50"/>
      <c r="L52" s="644">
        <f>Q12</f>
        <v>-3</v>
      </c>
      <c r="M52" s="645">
        <f t="shared" si="3"/>
        <v>-27</v>
      </c>
      <c r="N52" s="41">
        <v>8</v>
      </c>
      <c r="O52" s="12"/>
      <c r="P52" s="6" t="s">
        <v>163</v>
      </c>
      <c r="Q52" s="12"/>
      <c r="R52" s="44" t="s">
        <v>153</v>
      </c>
      <c r="S52" s="733">
        <f>7+Q11</f>
        <v>4</v>
      </c>
      <c r="V52" s="19"/>
      <c r="W52" s="9"/>
      <c r="X52" s="12"/>
      <c r="Y52" s="23"/>
      <c r="Z52" s="23"/>
      <c r="AA52" s="9"/>
      <c r="AB52" s="49"/>
      <c r="AC52" s="210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210"/>
      <c r="AO52" s="13"/>
      <c r="AP52" s="15"/>
      <c r="AQ52" s="21"/>
      <c r="AR52" s="15"/>
      <c r="AS52" s="21"/>
      <c r="AT52" s="15"/>
      <c r="AU52" s="21"/>
      <c r="AV52" s="15"/>
      <c r="AW52" s="21"/>
      <c r="AX52" s="15"/>
      <c r="AY52" s="21"/>
      <c r="AZ52" s="15"/>
    </row>
    <row r="53" spans="1:52" ht="11.25">
      <c r="A53" s="111" t="str">
        <f>IF(F4&gt;=9,"New Skill Possible","Lvl 9")</f>
        <v>Lvl 9</v>
      </c>
      <c r="B53" s="145"/>
      <c r="C53" s="578"/>
      <c r="D53" s="577"/>
      <c r="E53" s="567"/>
      <c r="F53" s="560"/>
      <c r="G53" s="304">
        <f>IF(F53="ST",M7+D53+E53,IF(F53="IN",M8+D53+E53,IF(F53="WI",M10+D53+E53,IF(F53="DX",M11+D53+E53,IF(F53="CO",M12+D53+E53,IF(F53="CH",M14+D53+E53,IF(F53="CM",M15+D53+E53,0)))))))</f>
        <v>0</v>
      </c>
      <c r="H53" s="307">
        <f t="shared" si="4"/>
        <v>0</v>
      </c>
      <c r="I53" s="8">
        <v>10</v>
      </c>
      <c r="J53" s="651">
        <f>IF(G5="Fighter",2,IF(G5="Magic-User",2,IF(G5="Cleric",2,1)))</f>
        <v>1</v>
      </c>
      <c r="K53" s="652" t="s">
        <v>773</v>
      </c>
      <c r="L53" s="642"/>
      <c r="M53" s="648">
        <f>M52+J53</f>
        <v>-26</v>
      </c>
      <c r="N53" s="41">
        <v>9</v>
      </c>
      <c r="O53" s="12"/>
      <c r="P53" s="6" t="s">
        <v>164</v>
      </c>
      <c r="Q53" s="12"/>
      <c r="R53" s="51" t="s">
        <v>590</v>
      </c>
      <c r="S53" s="733">
        <v>0</v>
      </c>
      <c r="V53" s="19"/>
      <c r="W53" s="9"/>
      <c r="X53" s="12"/>
      <c r="Y53" s="23"/>
      <c r="Z53" s="23"/>
      <c r="AA53" s="9"/>
      <c r="AB53" s="49"/>
      <c r="AC53" s="210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210"/>
      <c r="AO53" s="1" t="s">
        <v>314</v>
      </c>
      <c r="AP53" s="3"/>
      <c r="AQ53" s="5"/>
      <c r="AR53" s="2"/>
      <c r="AS53" s="2"/>
      <c r="AT53" s="4"/>
      <c r="AU53" s="1" t="s">
        <v>315</v>
      </c>
      <c r="AV53" s="3"/>
      <c r="AW53" s="2"/>
      <c r="AX53" s="2"/>
      <c r="AY53" s="2"/>
      <c r="AZ53" s="4"/>
    </row>
    <row r="54" spans="1:53" ht="12" thickBot="1">
      <c r="A54" s="111" t="str">
        <f>IF(F4&gt;=13,"New Skill Possible","Lvl 13")</f>
        <v>Lvl 13</v>
      </c>
      <c r="B54" s="182"/>
      <c r="C54" s="577"/>
      <c r="D54" s="577"/>
      <c r="E54" s="567"/>
      <c r="F54" s="560"/>
      <c r="G54" s="304">
        <f>IF(F54="ST",M7+D54+E54,IF(F54="IN",M8+D54+E54,IF(F54="WI",M10+D54+E54,IF(F54="DX",M11+D54+E54,IF(F54="CO",M12+D54+E54,IF(F54="CH",M14+D54+E54,IF(F54="CM",M15+D54+E54,0)))))))</f>
        <v>0</v>
      </c>
      <c r="H54" s="307">
        <f t="shared" si="4"/>
        <v>0</v>
      </c>
      <c r="I54" s="6" t="s">
        <v>138</v>
      </c>
      <c r="J54" s="8"/>
      <c r="K54" s="8"/>
      <c r="L54" s="8"/>
      <c r="M54" s="29"/>
      <c r="N54" s="19"/>
      <c r="O54" s="12"/>
      <c r="P54" s="6" t="s">
        <v>165</v>
      </c>
      <c r="Q54" s="12"/>
      <c r="R54" s="23"/>
      <c r="S54" s="733"/>
      <c r="V54" s="19"/>
      <c r="W54" s="9"/>
      <c r="X54" s="12"/>
      <c r="Y54" s="23"/>
      <c r="Z54" s="23"/>
      <c r="AA54" s="9"/>
      <c r="AB54" s="49"/>
      <c r="AC54" s="210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210"/>
      <c r="AO54" s="19"/>
      <c r="AP54" s="9"/>
      <c r="AQ54" s="9"/>
      <c r="AR54" s="9"/>
      <c r="AS54" s="9"/>
      <c r="AT54" s="12"/>
      <c r="AU54" s="19"/>
      <c r="AV54" s="9"/>
      <c r="AW54" s="9"/>
      <c r="AX54" s="9"/>
      <c r="AY54" s="9"/>
      <c r="AZ54" s="12"/>
      <c r="BA54" s="16" t="s">
        <v>802</v>
      </c>
    </row>
    <row r="55" spans="1:52" ht="11.25">
      <c r="A55" s="111" t="str">
        <f>IF(F4&gt;=17,"New Skill Possible","Lvl 17")</f>
        <v>Lvl 17</v>
      </c>
      <c r="B55" s="145"/>
      <c r="C55" s="573"/>
      <c r="D55" s="577"/>
      <c r="E55" s="567"/>
      <c r="F55" s="560"/>
      <c r="G55" s="304">
        <f>IF(F55="ST",M7+D55+E55,IF(F55="IN",M8+D55+E55,IF(F55="WI",M10+D55+E55,IF(F55="DX",M11+D55+E55,IF(F55="CO",M12+D55+E55,IF(F55="CH",M14+D55+E55,IF(F55="CM",M15+D55+E55,0)))))))</f>
        <v>0</v>
      </c>
      <c r="H55" s="307">
        <f t="shared" si="4"/>
        <v>0</v>
      </c>
      <c r="I55" s="646" t="s">
        <v>139</v>
      </c>
      <c r="J55" s="647">
        <f>F4</f>
        <v>0</v>
      </c>
      <c r="K55" s="155"/>
      <c r="L55" s="155"/>
      <c r="M55" s="648">
        <f>SUM(M52+((F4-H4)*J53))</f>
        <v>-27</v>
      </c>
      <c r="N55" s="48"/>
      <c r="O55" s="10"/>
      <c r="P55" s="39" t="s">
        <v>166</v>
      </c>
      <c r="Q55" s="12"/>
      <c r="R55" s="7"/>
      <c r="S55" s="7"/>
      <c r="V55" s="1" t="s">
        <v>172</v>
      </c>
      <c r="W55" s="2"/>
      <c r="X55" s="4"/>
      <c r="Y55" s="23"/>
      <c r="Z55" s="23"/>
      <c r="AA55" s="9"/>
      <c r="AB55" s="49"/>
      <c r="AC55" s="210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210"/>
      <c r="AO55" s="19"/>
      <c r="AP55" s="9"/>
      <c r="AQ55" s="9"/>
      <c r="AR55" s="9"/>
      <c r="AS55" s="9"/>
      <c r="AT55" s="12"/>
      <c r="AU55" s="19"/>
      <c r="AV55" s="9"/>
      <c r="AW55" s="9"/>
      <c r="AX55" s="9"/>
      <c r="AY55" s="9"/>
      <c r="AZ55" s="12"/>
    </row>
    <row r="56" spans="1:52" ht="11.25">
      <c r="A56" s="111" t="str">
        <f>IF(F4&gt;=21,"New Skill Possible","Lvl 21")</f>
        <v>Lvl 21</v>
      </c>
      <c r="B56" s="145"/>
      <c r="C56" s="573"/>
      <c r="D56" s="577"/>
      <c r="E56" s="567"/>
      <c r="F56" s="560"/>
      <c r="G56" s="304">
        <f>IF(F56="ST",M7+D56+E56,IF(F56="IN",M8+D56+E56,IF(F56="WI",M10+D56+E56,IF(F56="DX",M11+D56+E56,IF(F56="CO",M12+D56+E56,IF(F56="CH",M14+D56+E56,IF(F56="CM",M15+D56+E56,0)))))))</f>
        <v>0</v>
      </c>
      <c r="H56" s="307">
        <f t="shared" si="4"/>
        <v>0</v>
      </c>
      <c r="I56" s="649"/>
      <c r="J56" s="155"/>
      <c r="K56" s="155"/>
      <c r="L56" s="155"/>
      <c r="M56" s="156"/>
      <c r="N56" s="6" t="s">
        <v>143</v>
      </c>
      <c r="O56" s="12"/>
      <c r="P56" s="6" t="s">
        <v>167</v>
      </c>
      <c r="Q56" s="12"/>
      <c r="R56" s="49"/>
      <c r="S56" s="9"/>
      <c r="V56" s="19"/>
      <c r="W56" s="9"/>
      <c r="X56" s="12"/>
      <c r="Y56" s="23"/>
      <c r="Z56" s="23"/>
      <c r="AA56" s="9"/>
      <c r="AB56" s="49"/>
      <c r="AC56" s="210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210"/>
      <c r="AO56" s="19"/>
      <c r="AP56" s="9"/>
      <c r="AQ56" s="9"/>
      <c r="AR56" s="9"/>
      <c r="AS56" s="9"/>
      <c r="AT56" s="12"/>
      <c r="AU56" s="19"/>
      <c r="AV56" s="9"/>
      <c r="AW56" s="9"/>
      <c r="AX56" s="9"/>
      <c r="AY56" s="9"/>
      <c r="AZ56" s="12"/>
    </row>
    <row r="57" spans="1:52" ht="12" thickBot="1">
      <c r="A57" s="111" t="str">
        <f>IF(F4&gt;=25,"New Skill Possible","Lvl 25")</f>
        <v>Lvl 25</v>
      </c>
      <c r="B57" s="145"/>
      <c r="C57" s="573"/>
      <c r="D57" s="577"/>
      <c r="E57" s="567"/>
      <c r="F57" s="540"/>
      <c r="G57" s="304">
        <f>IF(F57="ST",M7+D57+E57,IF(F57="IN",M8+D57+E57,IF(F57="WI",M10+D57+E57,IF(F57="DX",M11+D57+E57,IF(F57="CO",M12+D57+E57,IF(F57="CH",M14+D57+E57,IF(F57="CM",M15+D57+E57,0)))))))</f>
        <v>0</v>
      </c>
      <c r="H57" s="307">
        <f t="shared" si="4"/>
        <v>0</v>
      </c>
      <c r="I57" s="635"/>
      <c r="J57" s="639"/>
      <c r="K57" s="639"/>
      <c r="L57" s="639"/>
      <c r="M57" s="650"/>
      <c r="N57" s="6"/>
      <c r="O57" s="15"/>
      <c r="P57" s="13" t="s">
        <v>122</v>
      </c>
      <c r="Q57" s="15"/>
      <c r="R57" s="50"/>
      <c r="S57" s="33"/>
      <c r="V57" s="21"/>
      <c r="W57" s="14"/>
      <c r="X57" s="15"/>
      <c r="Y57" s="23"/>
      <c r="Z57" s="23"/>
      <c r="AA57" s="9"/>
      <c r="AB57" s="49"/>
      <c r="AC57" s="210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10"/>
      <c r="AO57" s="19"/>
      <c r="AP57" s="9"/>
      <c r="AQ57" s="9"/>
      <c r="AR57" s="9"/>
      <c r="AS57" s="9"/>
      <c r="AT57" s="12"/>
      <c r="AU57" s="19"/>
      <c r="AV57" s="9"/>
      <c r="AW57" s="9"/>
      <c r="AX57" s="9"/>
      <c r="AY57" s="9"/>
      <c r="AZ57" s="12"/>
    </row>
    <row r="58" spans="1:52" ht="12" thickBot="1">
      <c r="A58" s="111" t="str">
        <f>IF(F4&gt;=29,"New Skill Possible","Lvl 29")</f>
        <v>Lvl 29</v>
      </c>
      <c r="B58" s="145"/>
      <c r="C58" s="573"/>
      <c r="D58" s="577"/>
      <c r="E58" s="567"/>
      <c r="F58" s="540"/>
      <c r="G58" s="304">
        <f>IF(F58="ST",M7+D58+E58,IF(F58="IN",M8+D58+E58,IF(F58="WI",M10+D58+E58,IF(F58="DX",M11+D58+E58,IF(F58="CO",M12+D58+E58,IF(F58="CH",M14+D58+E58,IF(F58="CM",M15+D58+E58,0)))))))</f>
        <v>0</v>
      </c>
      <c r="H58" s="307">
        <f t="shared" si="4"/>
        <v>0</v>
      </c>
      <c r="I58" s="334" t="s">
        <v>210</v>
      </c>
      <c r="J58" s="341"/>
      <c r="K58" s="341"/>
      <c r="L58" s="341"/>
      <c r="M58" s="341"/>
      <c r="N58" s="341"/>
      <c r="O58" s="342"/>
      <c r="P58" s="52" t="s">
        <v>212</v>
      </c>
      <c r="Q58" s="52"/>
      <c r="R58" s="52"/>
      <c r="S58" s="52"/>
      <c r="T58" s="52"/>
      <c r="U58" s="53"/>
      <c r="V58" s="120" t="s">
        <v>187</v>
      </c>
      <c r="W58" s="22"/>
      <c r="X58" s="738" t="str">
        <f>IF(B7="Human","none",IF(B7="Elf","60' ",IF(B7="Dwarf","60' ","30' ")))</f>
        <v>30' </v>
      </c>
      <c r="Y58" s="23"/>
      <c r="Z58" s="23"/>
      <c r="AA58" s="9"/>
      <c r="AB58" s="49"/>
      <c r="AC58" s="210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210"/>
      <c r="AO58" s="19"/>
      <c r="AP58" s="9"/>
      <c r="AQ58" s="9"/>
      <c r="AR58" s="9"/>
      <c r="AS58" s="9"/>
      <c r="AT58" s="12"/>
      <c r="AU58" s="19"/>
      <c r="AV58" s="9"/>
      <c r="AW58" s="9"/>
      <c r="AX58" s="9"/>
      <c r="AY58" s="9"/>
      <c r="AZ58" s="12"/>
    </row>
    <row r="59" spans="1:52" ht="12" thickBot="1">
      <c r="A59" s="111" t="str">
        <f>IF(F4&gt;=33,"New Skill Possible","Lvl 33")</f>
        <v>Lvl 33</v>
      </c>
      <c r="B59" s="146"/>
      <c r="C59" s="579"/>
      <c r="D59" s="580"/>
      <c r="E59" s="570"/>
      <c r="F59" s="551"/>
      <c r="G59" s="305">
        <f>IF(F59="ST",M7+D59+E59,IF(F59="IN",M8+D59+E59,IF(F59="WI",M10+D59+E59,IF(F59="DX",M11+D59+E59,IF(F59="CO",M12+D59+E59,IF(F59="CH",M14+D59+E59,IF(F59="CM",M15+D59+E59,0)))))))</f>
        <v>0</v>
      </c>
      <c r="H59" s="300">
        <f t="shared" si="4"/>
        <v>0</v>
      </c>
      <c r="I59" s="6" t="s">
        <v>200</v>
      </c>
      <c r="J59" s="8"/>
      <c r="K59" s="59"/>
      <c r="L59" s="59"/>
      <c r="M59" s="61" t="s">
        <v>371</v>
      </c>
      <c r="N59" s="61"/>
      <c r="O59" s="116">
        <f>M12*3</f>
        <v>-6</v>
      </c>
      <c r="P59" s="2"/>
      <c r="Q59" s="2"/>
      <c r="R59" s="2"/>
      <c r="S59" s="2"/>
      <c r="T59" s="2"/>
      <c r="U59" s="4"/>
      <c r="V59" s="57" t="s">
        <v>188</v>
      </c>
      <c r="W59" s="8"/>
      <c r="X59" s="739" t="str">
        <f>IF(B7="Human","1 on 30",IF(B7="Elf","1 on 2","1 on 20"))</f>
        <v>1 on 20</v>
      </c>
      <c r="Y59" s="23"/>
      <c r="Z59" s="23"/>
      <c r="AA59" s="9"/>
      <c r="AB59" s="49"/>
      <c r="AC59" s="210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210"/>
      <c r="AO59" s="19"/>
      <c r="AP59" s="9"/>
      <c r="AQ59" s="9"/>
      <c r="AR59" s="9"/>
      <c r="AS59" s="9"/>
      <c r="AT59" s="12"/>
      <c r="AU59" s="19"/>
      <c r="AV59" s="9"/>
      <c r="AW59" s="9"/>
      <c r="AX59" s="9"/>
      <c r="AY59" s="9"/>
      <c r="AZ59" s="12"/>
    </row>
    <row r="60" spans="1:52" ht="12" thickBot="1">
      <c r="A60" s="34" t="s">
        <v>113</v>
      </c>
      <c r="B60" s="35"/>
      <c r="C60" s="35" t="s">
        <v>109</v>
      </c>
      <c r="D60" s="67" t="s">
        <v>108</v>
      </c>
      <c r="E60" s="36" t="s">
        <v>110</v>
      </c>
      <c r="F60" s="71" t="s">
        <v>320</v>
      </c>
      <c r="G60" s="26"/>
      <c r="H60" s="26"/>
      <c r="I60" s="31" t="s">
        <v>201</v>
      </c>
      <c r="J60" s="23"/>
      <c r="K60" s="63"/>
      <c r="L60" s="63"/>
      <c r="M60" s="64" t="s">
        <v>372</v>
      </c>
      <c r="N60" s="64"/>
      <c r="O60" s="116">
        <f>M12*12</f>
        <v>-24</v>
      </c>
      <c r="P60" s="9"/>
      <c r="Q60" s="9"/>
      <c r="R60" s="9"/>
      <c r="S60" s="9"/>
      <c r="T60" s="9"/>
      <c r="U60" s="12"/>
      <c r="V60" s="57" t="s">
        <v>189</v>
      </c>
      <c r="W60" s="8"/>
      <c r="X60" s="739" t="str">
        <f>IF(B7="Human","1 on 30",IF(B7="Dwarf","1 on 2","1 on 20"))</f>
        <v>1 on 20</v>
      </c>
      <c r="Y60" s="23"/>
      <c r="Z60" s="23"/>
      <c r="AA60" s="9"/>
      <c r="AB60" s="49"/>
      <c r="AC60" s="210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210"/>
      <c r="AO60" s="19"/>
      <c r="AP60" s="9"/>
      <c r="AQ60" s="9"/>
      <c r="AR60" s="9"/>
      <c r="AS60" s="9"/>
      <c r="AT60" s="12"/>
      <c r="AU60" s="19"/>
      <c r="AV60" s="9"/>
      <c r="AW60" s="9"/>
      <c r="AX60" s="9"/>
      <c r="AY60" s="9"/>
      <c r="AZ60" s="12"/>
    </row>
    <row r="61" spans="1:52" ht="12" thickBot="1">
      <c r="A61" s="581"/>
      <c r="B61" s="582"/>
      <c r="C61" s="687" t="s">
        <v>111</v>
      </c>
      <c r="D61" s="583"/>
      <c r="E61" s="584"/>
      <c r="F61" s="6" t="s">
        <v>101</v>
      </c>
      <c r="G61" s="235">
        <v>0</v>
      </c>
      <c r="H61" s="339">
        <f>5%*H68</f>
        <v>0</v>
      </c>
      <c r="I61" s="344" t="s">
        <v>198</v>
      </c>
      <c r="J61" s="345"/>
      <c r="K61" s="327"/>
      <c r="L61" s="327"/>
      <c r="M61" s="328" t="s">
        <v>373</v>
      </c>
      <c r="N61" s="62"/>
      <c r="O61" s="329">
        <f>M12</f>
        <v>-2</v>
      </c>
      <c r="P61" s="9"/>
      <c r="Q61" s="9"/>
      <c r="R61" s="9"/>
      <c r="S61" s="9"/>
      <c r="T61" s="9"/>
      <c r="U61" s="12"/>
      <c r="V61" s="57" t="s">
        <v>190</v>
      </c>
      <c r="W61" s="8"/>
      <c r="X61" s="739" t="str">
        <f>IF(B9="Human","1 on 30",IF(B9="Dwarf","1 on 3","1 on 20/Skill"))</f>
        <v>1 on 20/Skill</v>
      </c>
      <c r="Y61" s="23"/>
      <c r="Z61" s="23"/>
      <c r="AA61" s="9"/>
      <c r="AB61" s="49"/>
      <c r="AC61" s="210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210"/>
      <c r="AO61" s="19"/>
      <c r="AP61" s="9"/>
      <c r="AQ61" s="9"/>
      <c r="AR61" s="9"/>
      <c r="AS61" s="9"/>
      <c r="AT61" s="12"/>
      <c r="AU61" s="19"/>
      <c r="AV61" s="9"/>
      <c r="AW61" s="9"/>
      <c r="AX61" s="9"/>
      <c r="AY61" s="9"/>
      <c r="AZ61" s="12"/>
    </row>
    <row r="62" spans="1:52" ht="12" thickBot="1">
      <c r="A62" s="585"/>
      <c r="B62" s="586"/>
      <c r="C62" s="688" t="s">
        <v>112</v>
      </c>
      <c r="D62" s="587"/>
      <c r="E62" s="588"/>
      <c r="F62" s="6" t="s">
        <v>102</v>
      </c>
      <c r="G62" s="235">
        <f aca="true" t="shared" si="5" ref="G62:G67">H61+1</f>
        <v>1</v>
      </c>
      <c r="H62" s="339">
        <f>10%*H68</f>
        <v>0</v>
      </c>
      <c r="I62" s="289" t="s">
        <v>819</v>
      </c>
      <c r="J62" s="331"/>
      <c r="K62" s="331"/>
      <c r="L62" s="331"/>
      <c r="M62" s="332"/>
      <c r="N62" s="332"/>
      <c r="O62" s="333"/>
      <c r="P62" s="19"/>
      <c r="Q62" s="9"/>
      <c r="R62" s="9"/>
      <c r="S62" s="9"/>
      <c r="T62" s="9"/>
      <c r="U62" s="12"/>
      <c r="V62" s="57" t="s">
        <v>191</v>
      </c>
      <c r="W62" s="8"/>
      <c r="X62" s="739" t="str">
        <f>IF(B7="Human","1 on 30",IF(B7="Dwarf","1 on 2",IF(B4="Gnome","1 on 3","1 on 20")))</f>
        <v>1 on 20</v>
      </c>
      <c r="Y62" s="23"/>
      <c r="Z62" s="23"/>
      <c r="AA62" s="9"/>
      <c r="AB62" s="49"/>
      <c r="AC62" s="210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210"/>
      <c r="AO62" s="20"/>
      <c r="AP62" s="11"/>
      <c r="AQ62" s="11"/>
      <c r="AR62" s="11"/>
      <c r="AS62" s="11"/>
      <c r="AT62" s="17"/>
      <c r="AU62" s="21"/>
      <c r="AV62" s="14"/>
      <c r="AW62" s="14"/>
      <c r="AX62" s="14"/>
      <c r="AY62" s="14"/>
      <c r="AZ62" s="15"/>
    </row>
    <row r="63" spans="1:52" ht="12" thickBot="1">
      <c r="A63" s="585"/>
      <c r="B63" s="586"/>
      <c r="C63" s="587"/>
      <c r="D63" s="587"/>
      <c r="E63" s="588"/>
      <c r="F63" s="6" t="s">
        <v>103</v>
      </c>
      <c r="G63" s="236">
        <f t="shared" si="5"/>
        <v>1</v>
      </c>
      <c r="H63" s="340">
        <f>15%*H68</f>
        <v>0</v>
      </c>
      <c r="I63" s="6" t="s">
        <v>204</v>
      </c>
      <c r="J63" s="59"/>
      <c r="K63" s="59"/>
      <c r="L63" s="59"/>
      <c r="M63" s="61" t="s">
        <v>374</v>
      </c>
      <c r="N63" s="61"/>
      <c r="O63" s="343">
        <f>1+Q12</f>
        <v>-2</v>
      </c>
      <c r="P63" s="19"/>
      <c r="Q63" s="9"/>
      <c r="R63" s="9"/>
      <c r="S63" s="9"/>
      <c r="T63" s="9"/>
      <c r="U63" s="12"/>
      <c r="V63" s="57" t="s">
        <v>192</v>
      </c>
      <c r="W63" s="8"/>
      <c r="X63" s="739" t="str">
        <f>IF(B7="Human","1 on 100",IF(B7="Dwarf","1 on 3","1 on 30"))</f>
        <v>1 on 30</v>
      </c>
      <c r="Y63" s="23"/>
      <c r="Z63" s="23"/>
      <c r="AA63" s="9"/>
      <c r="AB63" s="49"/>
      <c r="AC63" s="210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210"/>
      <c r="AO63" s="1" t="s">
        <v>316</v>
      </c>
      <c r="AP63" s="3"/>
      <c r="AQ63" s="2"/>
      <c r="AR63" s="2"/>
      <c r="AS63" s="2"/>
      <c r="AT63" s="4"/>
      <c r="AU63" s="27" t="s">
        <v>317</v>
      </c>
      <c r="AV63" s="22"/>
      <c r="AW63" s="22"/>
      <c r="AX63" s="2"/>
      <c r="AY63" s="2"/>
      <c r="AZ63" s="4"/>
    </row>
    <row r="64" spans="1:52" ht="11.25">
      <c r="A64" s="585"/>
      <c r="B64" s="586"/>
      <c r="C64" s="587"/>
      <c r="D64" s="587"/>
      <c r="E64" s="588"/>
      <c r="F64" s="55" t="s">
        <v>780</v>
      </c>
      <c r="G64" s="238">
        <f t="shared" si="5"/>
        <v>1</v>
      </c>
      <c r="H64" s="239">
        <f>20%*H68</f>
        <v>0</v>
      </c>
      <c r="I64" s="31" t="s">
        <v>205</v>
      </c>
      <c r="J64" s="63"/>
      <c r="K64" s="63"/>
      <c r="L64" s="63"/>
      <c r="M64" s="63" t="s">
        <v>375</v>
      </c>
      <c r="N64" s="59"/>
      <c r="O64" s="117">
        <v>1</v>
      </c>
      <c r="P64" s="19"/>
      <c r="Q64" s="9"/>
      <c r="R64" s="9"/>
      <c r="S64" s="9"/>
      <c r="T64" s="9"/>
      <c r="U64" s="12"/>
      <c r="V64" s="57" t="s">
        <v>193</v>
      </c>
      <c r="W64" s="8"/>
      <c r="X64" s="739" t="str">
        <f>IF(B7="Human","1 on 30",IF(B7="Dwarf","1 on 2","1 on 20"))</f>
        <v>1 on 20</v>
      </c>
      <c r="Y64" s="23"/>
      <c r="Z64" s="23"/>
      <c r="AA64" s="9"/>
      <c r="AB64" s="49"/>
      <c r="AC64" s="210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210"/>
      <c r="AO64" s="19"/>
      <c r="AP64" s="9"/>
      <c r="AQ64" s="9"/>
      <c r="AR64" s="9"/>
      <c r="AS64" s="9"/>
      <c r="AT64" s="12"/>
      <c r="AU64" s="19"/>
      <c r="AV64" s="9"/>
      <c r="AW64" s="9"/>
      <c r="AX64" s="9"/>
      <c r="AY64" s="9"/>
      <c r="AZ64" s="12"/>
    </row>
    <row r="65" spans="1:52" ht="12" thickBot="1">
      <c r="A65" s="585"/>
      <c r="B65" s="586"/>
      <c r="C65" s="587"/>
      <c r="D65" s="587"/>
      <c r="E65" s="588"/>
      <c r="F65" s="242" t="s">
        <v>104</v>
      </c>
      <c r="G65" s="240">
        <f t="shared" si="5"/>
        <v>1</v>
      </c>
      <c r="H65" s="241">
        <f>39%*H68</f>
        <v>0</v>
      </c>
      <c r="I65" s="344" t="s">
        <v>203</v>
      </c>
      <c r="J65" s="327"/>
      <c r="K65" s="327"/>
      <c r="L65" s="327"/>
      <c r="M65" s="328" t="s">
        <v>820</v>
      </c>
      <c r="N65" s="328"/>
      <c r="O65" s="330">
        <f>I13</f>
        <v>0</v>
      </c>
      <c r="P65" s="19"/>
      <c r="Q65" s="9"/>
      <c r="R65" s="9"/>
      <c r="S65" s="9"/>
      <c r="T65" s="9"/>
      <c r="U65" s="12"/>
      <c r="V65" s="58" t="s">
        <v>194</v>
      </c>
      <c r="W65" s="23"/>
      <c r="X65" s="739" t="str">
        <f>IF(B7="Human","1 on 30",IF(B7="Dwarf","1 on 2",IF(B7="Elf","1 on 8","1 on 20")))</f>
        <v>1 on 20</v>
      </c>
      <c r="Y65" s="23"/>
      <c r="Z65" s="23"/>
      <c r="AA65" s="9"/>
      <c r="AB65" s="49"/>
      <c r="AC65" s="210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210"/>
      <c r="AO65" s="19"/>
      <c r="AP65" s="9"/>
      <c r="AQ65" s="9"/>
      <c r="AR65" s="9"/>
      <c r="AS65" s="9"/>
      <c r="AT65" s="12"/>
      <c r="AU65" s="19"/>
      <c r="AV65" s="9"/>
      <c r="AW65" s="9"/>
      <c r="AX65" s="9"/>
      <c r="AY65" s="9"/>
      <c r="AZ65" s="12"/>
    </row>
    <row r="66" spans="1:52" ht="13.5" customHeight="1">
      <c r="A66" s="585"/>
      <c r="B66" s="586"/>
      <c r="C66" s="587"/>
      <c r="D66" s="587"/>
      <c r="E66" s="588"/>
      <c r="F66" s="6" t="s">
        <v>105</v>
      </c>
      <c r="G66" s="235">
        <f t="shared" si="5"/>
        <v>1</v>
      </c>
      <c r="H66" s="234">
        <f>59%*H68</f>
        <v>0</v>
      </c>
      <c r="I66" s="346" t="s">
        <v>12</v>
      </c>
      <c r="J66" s="336"/>
      <c r="K66" s="336"/>
      <c r="L66" s="336"/>
      <c r="M66" s="337"/>
      <c r="N66" s="337"/>
      <c r="O66" s="335"/>
      <c r="P66" s="19"/>
      <c r="Q66" s="9"/>
      <c r="R66" s="9"/>
      <c r="S66" s="9"/>
      <c r="T66" s="9"/>
      <c r="U66" s="12"/>
      <c r="V66" s="65" t="s">
        <v>838</v>
      </c>
      <c r="W66" s="23"/>
      <c r="X66" s="12"/>
      <c r="Y66" s="23"/>
      <c r="Z66" s="23"/>
      <c r="AA66" s="9"/>
      <c r="AB66" s="49"/>
      <c r="AC66" s="210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210"/>
      <c r="AO66" s="19"/>
      <c r="AP66" s="9"/>
      <c r="AQ66" s="9"/>
      <c r="AR66" s="9"/>
      <c r="AS66" s="9"/>
      <c r="AT66" s="12"/>
      <c r="AU66" s="19"/>
      <c r="AV66" s="9"/>
      <c r="AW66" s="9"/>
      <c r="AX66" s="9"/>
      <c r="AY66" s="9"/>
      <c r="AZ66" s="12"/>
    </row>
    <row r="67" spans="1:52" ht="12" thickBot="1">
      <c r="A67" s="589"/>
      <c r="B67" s="590"/>
      <c r="C67" s="591"/>
      <c r="D67" s="591"/>
      <c r="E67" s="592"/>
      <c r="F67" s="6" t="s">
        <v>106</v>
      </c>
      <c r="G67" s="236">
        <f t="shared" si="5"/>
        <v>1</v>
      </c>
      <c r="H67" s="237">
        <f>100%*H68</f>
        <v>0</v>
      </c>
      <c r="I67" s="6" t="s">
        <v>197</v>
      </c>
      <c r="J67" s="59"/>
      <c r="K67" s="59"/>
      <c r="L67" s="249" t="s">
        <v>792</v>
      </c>
      <c r="M67" s="248" t="s">
        <v>791</v>
      </c>
      <c r="N67" s="248"/>
      <c r="O67" s="118">
        <f>M7*30</f>
        <v>-120</v>
      </c>
      <c r="P67" s="19"/>
      <c r="Q67" s="9"/>
      <c r="R67" s="9"/>
      <c r="S67" s="9"/>
      <c r="T67" s="9"/>
      <c r="U67" s="12"/>
      <c r="V67" s="58"/>
      <c r="W67" s="9"/>
      <c r="X67" s="12"/>
      <c r="Y67" s="23"/>
      <c r="Z67" s="23"/>
      <c r="AA67" s="9"/>
      <c r="AB67" s="49"/>
      <c r="AC67" s="210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210"/>
      <c r="AO67" s="19"/>
      <c r="AP67" s="9"/>
      <c r="AQ67" s="9"/>
      <c r="AR67" s="9"/>
      <c r="AS67" s="9"/>
      <c r="AT67" s="12"/>
      <c r="AU67" s="19"/>
      <c r="AV67" s="9"/>
      <c r="AW67" s="9"/>
      <c r="AX67" s="9"/>
      <c r="AY67" s="9"/>
      <c r="AZ67" s="12"/>
    </row>
    <row r="68" spans="1:53" ht="12" thickBot="1">
      <c r="A68" s="585"/>
      <c r="B68" s="586"/>
      <c r="C68" s="587"/>
      <c r="D68" s="587"/>
      <c r="E68" s="588"/>
      <c r="F68" s="71" t="s">
        <v>107</v>
      </c>
      <c r="G68" s="392" t="s">
        <v>781</v>
      </c>
      <c r="H68" s="598"/>
      <c r="I68" s="6" t="s">
        <v>196</v>
      </c>
      <c r="J68" s="59"/>
      <c r="K68" s="59"/>
      <c r="L68" s="249" t="s">
        <v>792</v>
      </c>
      <c r="M68" s="248" t="s">
        <v>791</v>
      </c>
      <c r="N68" s="248"/>
      <c r="O68" s="118">
        <f>M7*50</f>
        <v>-200</v>
      </c>
      <c r="P68" s="19"/>
      <c r="Q68" s="9"/>
      <c r="R68" s="9"/>
      <c r="S68" s="9"/>
      <c r="T68" s="9"/>
      <c r="U68" s="12"/>
      <c r="V68" s="58"/>
      <c r="W68" s="9"/>
      <c r="X68" s="12"/>
      <c r="Y68" s="23"/>
      <c r="Z68" s="23"/>
      <c r="AA68" s="9"/>
      <c r="AB68" s="49"/>
      <c r="AC68" s="210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210"/>
      <c r="AO68" s="19"/>
      <c r="AP68" s="9"/>
      <c r="AQ68" s="9"/>
      <c r="AR68" s="9"/>
      <c r="AS68" s="9"/>
      <c r="AT68" s="12"/>
      <c r="AU68" s="19"/>
      <c r="AV68" s="9"/>
      <c r="AW68" s="9"/>
      <c r="AX68" s="9"/>
      <c r="AY68" s="9"/>
      <c r="AZ68" s="12"/>
      <c r="BA68" s="9"/>
    </row>
    <row r="69" spans="1:52" ht="11.25">
      <c r="A69" s="585"/>
      <c r="B69" s="586"/>
      <c r="C69" s="587"/>
      <c r="D69" s="587"/>
      <c r="E69" s="588"/>
      <c r="F69" s="1" t="s">
        <v>118</v>
      </c>
      <c r="G69" s="22"/>
      <c r="H69" s="28"/>
      <c r="I69" s="31" t="s">
        <v>199</v>
      </c>
      <c r="J69" s="63"/>
      <c r="K69" s="63"/>
      <c r="L69" s="63" t="s">
        <v>822</v>
      </c>
      <c r="M69" s="64" t="s">
        <v>821</v>
      </c>
      <c r="N69" s="338">
        <f>Q7-Q12</f>
        <v>0</v>
      </c>
      <c r="O69" s="169">
        <f>M7*0.015</f>
        <v>-0.06</v>
      </c>
      <c r="P69" s="19"/>
      <c r="Q69" s="9"/>
      <c r="R69" s="9"/>
      <c r="S69" s="9"/>
      <c r="T69" s="9"/>
      <c r="U69" s="12"/>
      <c r="V69" s="58"/>
      <c r="W69" s="9"/>
      <c r="X69" s="12"/>
      <c r="Y69" s="23"/>
      <c r="Z69" s="23"/>
      <c r="AA69" s="9"/>
      <c r="AB69" s="49"/>
      <c r="AC69" s="210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210"/>
      <c r="AO69" s="19"/>
      <c r="AP69" s="9"/>
      <c r="AQ69" s="9"/>
      <c r="AR69" s="9"/>
      <c r="AS69" s="9"/>
      <c r="AT69" s="12"/>
      <c r="AU69" s="19"/>
      <c r="AV69" s="9"/>
      <c r="AW69" s="9"/>
      <c r="AX69" s="9"/>
      <c r="AY69" s="9"/>
      <c r="AZ69" s="12"/>
    </row>
    <row r="70" spans="1:52" ht="12" thickBot="1">
      <c r="A70" s="585"/>
      <c r="B70" s="586"/>
      <c r="C70" s="587"/>
      <c r="D70" s="587"/>
      <c r="E70" s="588"/>
      <c r="F70" s="6" t="s">
        <v>115</v>
      </c>
      <c r="G70" s="391">
        <f>0.5*G73</f>
        <v>0.44642857142857145</v>
      </c>
      <c r="H70" s="136" t="s">
        <v>278</v>
      </c>
      <c r="I70" s="6" t="s">
        <v>794</v>
      </c>
      <c r="J70" s="8"/>
      <c r="K70" s="8"/>
      <c r="L70" s="8"/>
      <c r="M70" s="61" t="s">
        <v>796</v>
      </c>
      <c r="N70" s="61"/>
      <c r="O70" s="350">
        <f>Q7*100</f>
        <v>-300</v>
      </c>
      <c r="P70" s="19"/>
      <c r="Q70" s="9"/>
      <c r="R70" s="9"/>
      <c r="S70" s="9"/>
      <c r="T70" s="9"/>
      <c r="U70" s="12"/>
      <c r="V70" s="58"/>
      <c r="W70" s="9"/>
      <c r="X70" s="12"/>
      <c r="Y70" s="23"/>
      <c r="Z70" s="23"/>
      <c r="AA70" s="9"/>
      <c r="AB70" s="49"/>
      <c r="AC70" s="210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210"/>
      <c r="AO70" s="19"/>
      <c r="AP70" s="9"/>
      <c r="AQ70" s="9"/>
      <c r="AR70" s="9"/>
      <c r="AS70" s="9"/>
      <c r="AT70" s="12"/>
      <c r="AU70" s="19"/>
      <c r="AV70" s="9"/>
      <c r="AW70" s="9"/>
      <c r="AX70" s="9"/>
      <c r="AY70" s="9"/>
      <c r="AZ70" s="12"/>
    </row>
    <row r="71" spans="1:52" ht="11.25">
      <c r="A71" s="585"/>
      <c r="B71" s="586"/>
      <c r="C71" s="587"/>
      <c r="D71" s="587"/>
      <c r="E71" s="588"/>
      <c r="F71" s="6" t="s">
        <v>116</v>
      </c>
      <c r="G71" s="195">
        <f>0.2*G73</f>
        <v>0.1785714285714286</v>
      </c>
      <c r="H71" s="136" t="s">
        <v>278</v>
      </c>
      <c r="I71" s="289" t="s">
        <v>818</v>
      </c>
      <c r="J71" s="341"/>
      <c r="K71" s="341"/>
      <c r="L71" s="341"/>
      <c r="M71" s="351"/>
      <c r="N71" s="351"/>
      <c r="O71" s="352"/>
      <c r="P71" s="19"/>
      <c r="Q71" s="9"/>
      <c r="R71" s="9"/>
      <c r="S71" s="9"/>
      <c r="T71" s="9"/>
      <c r="U71" s="12"/>
      <c r="V71" s="58"/>
      <c r="W71" s="9"/>
      <c r="X71" s="12"/>
      <c r="Y71" s="23"/>
      <c r="Z71" s="23"/>
      <c r="AA71" s="9"/>
      <c r="AB71" s="49"/>
      <c r="AC71" s="210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210"/>
      <c r="AO71" s="19"/>
      <c r="AP71" s="9"/>
      <c r="AQ71" s="9"/>
      <c r="AR71" s="9"/>
      <c r="AS71" s="9"/>
      <c r="AT71" s="12"/>
      <c r="AU71" s="19"/>
      <c r="AV71" s="9"/>
      <c r="AW71" s="9"/>
      <c r="AX71" s="9"/>
      <c r="AY71" s="9"/>
      <c r="AZ71" s="12"/>
    </row>
    <row r="72" spans="1:52" ht="12" thickBot="1">
      <c r="A72" s="585"/>
      <c r="B72" s="586"/>
      <c r="C72" s="587"/>
      <c r="D72" s="587"/>
      <c r="E72" s="588"/>
      <c r="F72" s="46" t="s">
        <v>117</v>
      </c>
      <c r="G72" s="196">
        <f>0.3*G73</f>
        <v>0.26785714285714285</v>
      </c>
      <c r="H72" s="153" t="s">
        <v>278</v>
      </c>
      <c r="I72" s="6" t="s">
        <v>206</v>
      </c>
      <c r="J72" s="59"/>
      <c r="K72" s="59"/>
      <c r="L72" s="59"/>
      <c r="M72" s="61" t="s">
        <v>372</v>
      </c>
      <c r="N72" s="61"/>
      <c r="O72" s="119">
        <f>M12</f>
        <v>-2</v>
      </c>
      <c r="P72" s="19"/>
      <c r="Q72" s="9"/>
      <c r="R72" s="9"/>
      <c r="S72" s="9"/>
      <c r="T72" s="9"/>
      <c r="U72" s="12"/>
      <c r="V72" s="58"/>
      <c r="W72" s="9"/>
      <c r="X72" s="12"/>
      <c r="Y72" s="23"/>
      <c r="Z72" s="23"/>
      <c r="AA72" s="9"/>
      <c r="AB72" s="49"/>
      <c r="AC72" s="210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210"/>
      <c r="AO72" s="19"/>
      <c r="AP72" s="9"/>
      <c r="AQ72" s="9"/>
      <c r="AR72" s="9"/>
      <c r="AS72" s="9"/>
      <c r="AT72" s="12"/>
      <c r="AU72" s="19"/>
      <c r="AV72" s="9"/>
      <c r="AW72" s="9"/>
      <c r="AX72" s="9"/>
      <c r="AY72" s="9"/>
      <c r="AZ72" s="12"/>
    </row>
    <row r="73" spans="1:52" ht="12" thickTop="1">
      <c r="A73" s="585"/>
      <c r="B73" s="586"/>
      <c r="C73" s="587"/>
      <c r="D73" s="587"/>
      <c r="E73" s="588"/>
      <c r="F73" s="6" t="s">
        <v>133</v>
      </c>
      <c r="G73" s="194">
        <f>SUM(G74/28)</f>
        <v>0.8928571428571429</v>
      </c>
      <c r="H73" s="154" t="s">
        <v>278</v>
      </c>
      <c r="I73" s="6" t="s">
        <v>207</v>
      </c>
      <c r="J73" s="59"/>
      <c r="K73" s="59"/>
      <c r="L73" s="59"/>
      <c r="M73" s="61" t="s">
        <v>787</v>
      </c>
      <c r="N73" s="61"/>
      <c r="O73" s="119">
        <f>M12</f>
        <v>-2</v>
      </c>
      <c r="P73" s="19"/>
      <c r="Q73" s="9"/>
      <c r="R73" s="9"/>
      <c r="S73" s="9"/>
      <c r="T73" s="9"/>
      <c r="U73" s="12"/>
      <c r="V73" s="58"/>
      <c r="W73" s="9"/>
      <c r="X73" s="12"/>
      <c r="Y73" s="23"/>
      <c r="Z73" s="23"/>
      <c r="AA73" s="9"/>
      <c r="AB73" s="49"/>
      <c r="AC73" s="210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210"/>
      <c r="AO73" s="19"/>
      <c r="AP73" s="9"/>
      <c r="AQ73" s="9"/>
      <c r="AR73" s="9"/>
      <c r="AS73" s="9"/>
      <c r="AT73" s="12"/>
      <c r="AU73" s="19"/>
      <c r="AV73" s="9"/>
      <c r="AW73" s="9"/>
      <c r="AX73" s="9"/>
      <c r="AY73" s="9"/>
      <c r="AZ73" s="12"/>
    </row>
    <row r="74" spans="1:52" ht="12" thickBot="1">
      <c r="A74" s="585"/>
      <c r="B74" s="586"/>
      <c r="C74" s="587"/>
      <c r="D74" s="587"/>
      <c r="E74" s="588"/>
      <c r="F74" s="6" t="s">
        <v>132</v>
      </c>
      <c r="G74" s="683">
        <f>IF(F19="Rich Noble",2000*F4,IF(F19="Extremely Rich",10000*F4,IF(F19="Typical Noble",1000*F4,IF(F19="Poor Noble",500*F4,IF(F19="Typical Freeman",100*F4,IF(F19="Poor Freeman",50,IF(F19="Slave",10,25)))))))</f>
        <v>25</v>
      </c>
      <c r="H74" s="233" t="s">
        <v>278</v>
      </c>
      <c r="I74" s="8" t="s">
        <v>321</v>
      </c>
      <c r="J74" s="59"/>
      <c r="K74" s="59"/>
      <c r="L74" s="59"/>
      <c r="M74" s="61" t="s">
        <v>373</v>
      </c>
      <c r="N74" s="61"/>
      <c r="O74" s="119">
        <f>M12</f>
        <v>-2</v>
      </c>
      <c r="P74" s="19"/>
      <c r="Q74" s="9"/>
      <c r="R74" s="9"/>
      <c r="S74" s="9"/>
      <c r="T74" s="9"/>
      <c r="U74" s="12"/>
      <c r="V74" s="57"/>
      <c r="Y74" s="23"/>
      <c r="Z74" s="23"/>
      <c r="AA74" s="9"/>
      <c r="AB74" s="49"/>
      <c r="AC74" s="210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210"/>
      <c r="AO74" s="19"/>
      <c r="AP74" s="9"/>
      <c r="AQ74" s="9"/>
      <c r="AR74" s="9"/>
      <c r="AS74" s="9"/>
      <c r="AT74" s="12"/>
      <c r="AU74" s="20"/>
      <c r="AV74" s="11"/>
      <c r="AW74" s="11"/>
      <c r="AX74" s="11"/>
      <c r="AY74" s="11"/>
      <c r="AZ74" s="17"/>
    </row>
    <row r="75" spans="1:52" ht="11.25" customHeight="1" thickBot="1">
      <c r="A75" s="585"/>
      <c r="B75" s="586"/>
      <c r="C75" s="587"/>
      <c r="D75" s="587"/>
      <c r="E75" s="586"/>
      <c r="F75" s="1" t="s">
        <v>867</v>
      </c>
      <c r="G75" s="3"/>
      <c r="H75" s="673"/>
      <c r="I75" s="23" t="s">
        <v>202</v>
      </c>
      <c r="J75" s="63"/>
      <c r="K75" s="63"/>
      <c r="L75" s="63"/>
      <c r="M75" s="64" t="s">
        <v>373</v>
      </c>
      <c r="N75" s="64"/>
      <c r="O75" s="234">
        <f>M12/2</f>
        <v>-1</v>
      </c>
      <c r="P75" s="19"/>
      <c r="Q75" s="9"/>
      <c r="R75" s="9"/>
      <c r="S75" s="9"/>
      <c r="T75" s="9"/>
      <c r="U75" s="9"/>
      <c r="V75" s="1" t="s">
        <v>135</v>
      </c>
      <c r="W75" s="3"/>
      <c r="X75" s="187"/>
      <c r="Y75" s="23"/>
      <c r="Z75" s="23"/>
      <c r="AA75" s="9"/>
      <c r="AB75" s="49"/>
      <c r="AC75" s="210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210"/>
      <c r="AO75" s="19"/>
      <c r="AP75" s="9"/>
      <c r="AQ75" s="9"/>
      <c r="AR75" s="9"/>
      <c r="AS75" s="9"/>
      <c r="AT75" s="12"/>
      <c r="AU75" s="34" t="s">
        <v>318</v>
      </c>
      <c r="AV75" s="36"/>
      <c r="AW75" s="83"/>
      <c r="AX75" s="73"/>
      <c r="AY75" s="73"/>
      <c r="AZ75" s="74"/>
    </row>
    <row r="76" spans="1:52" ht="12" thickBot="1">
      <c r="A76" s="585"/>
      <c r="B76" s="586"/>
      <c r="C76" s="587"/>
      <c r="D76" s="587"/>
      <c r="E76" s="586"/>
      <c r="F76" s="6" t="s">
        <v>866</v>
      </c>
      <c r="G76" s="8"/>
      <c r="H76" s="686">
        <f>H75+H28</f>
        <v>0</v>
      </c>
      <c r="I76" s="348" t="s">
        <v>209</v>
      </c>
      <c r="J76" s="348"/>
      <c r="K76" s="206"/>
      <c r="L76" s="206"/>
      <c r="M76" s="349" t="s">
        <v>787</v>
      </c>
      <c r="N76" s="66"/>
      <c r="O76" s="170">
        <f>M12+L77</f>
        <v>-2</v>
      </c>
      <c r="P76" s="21"/>
      <c r="Q76" s="14"/>
      <c r="R76" s="14"/>
      <c r="S76" s="14"/>
      <c r="T76" s="14"/>
      <c r="U76" s="14"/>
      <c r="V76" s="20"/>
      <c r="Y76" s="23"/>
      <c r="Z76" s="23"/>
      <c r="AA76" s="9"/>
      <c r="AB76" s="49"/>
      <c r="AC76" s="210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227"/>
      <c r="AO76" s="19"/>
      <c r="AP76" s="9"/>
      <c r="AQ76" s="9"/>
      <c r="AR76" s="9"/>
      <c r="AS76" s="9"/>
      <c r="AT76" s="12"/>
      <c r="AU76" s="82"/>
      <c r="AV76" s="47"/>
      <c r="AW76" s="47"/>
      <c r="AX76" s="47"/>
      <c r="AY76" s="47"/>
      <c r="AZ76" s="68"/>
    </row>
    <row r="77" spans="1:52" ht="12" thickBot="1">
      <c r="A77" s="585"/>
      <c r="B77" s="586"/>
      <c r="C77" s="587"/>
      <c r="D77" s="587"/>
      <c r="E77" s="586"/>
      <c r="F77" s="684" t="s">
        <v>370</v>
      </c>
      <c r="G77" s="150"/>
      <c r="H77" s="151"/>
      <c r="I77" s="682" t="s">
        <v>823</v>
      </c>
      <c r="J77" s="353"/>
      <c r="K77" s="347" t="s">
        <v>99</v>
      </c>
      <c r="L77" s="667"/>
      <c r="M77" s="354" t="s">
        <v>793</v>
      </c>
      <c r="N77" s="355"/>
      <c r="O77" s="326">
        <f>Q7+24+L77</f>
        <v>21</v>
      </c>
      <c r="V77" s="20"/>
      <c r="Y77" s="26"/>
      <c r="Z77" s="26"/>
      <c r="AA77" s="14"/>
      <c r="AB77" s="50"/>
      <c r="AC77" s="211"/>
      <c r="AD77" s="81"/>
      <c r="AE77" s="81"/>
      <c r="AF77" s="81"/>
      <c r="AG77" s="81"/>
      <c r="AH77" s="826"/>
      <c r="AI77" s="860" t="s">
        <v>275</v>
      </c>
      <c r="AJ77" s="861"/>
      <c r="AK77" s="861"/>
      <c r="AL77" s="861"/>
      <c r="AM77" s="862"/>
      <c r="AN77" s="228"/>
      <c r="AO77" s="19"/>
      <c r="AP77" s="9"/>
      <c r="AQ77" s="9"/>
      <c r="AR77" s="9"/>
      <c r="AS77" s="9"/>
      <c r="AT77" s="12"/>
      <c r="AU77" s="82"/>
      <c r="AV77" s="47"/>
      <c r="AW77" s="47"/>
      <c r="AX77" s="47"/>
      <c r="AY77" s="47"/>
      <c r="AZ77" s="68"/>
    </row>
    <row r="78" spans="1:52" ht="12" thickBot="1">
      <c r="A78" s="585"/>
      <c r="B78" s="586"/>
      <c r="C78" s="587"/>
      <c r="D78" s="587"/>
      <c r="E78" s="586"/>
      <c r="F78" s="685"/>
      <c r="G78" s="150"/>
      <c r="H78" s="151"/>
      <c r="I78" s="26" t="s">
        <v>211</v>
      </c>
      <c r="J78" s="26"/>
      <c r="K78" s="26"/>
      <c r="L78" s="26"/>
      <c r="M78" s="62" t="s">
        <v>795</v>
      </c>
      <c r="N78" s="62"/>
      <c r="O78" s="250">
        <f>25-(Q14*3)</f>
        <v>34</v>
      </c>
      <c r="V78" s="20"/>
      <c r="Y78" s="35"/>
      <c r="Z78" s="35"/>
      <c r="AA78" s="35" t="s">
        <v>283</v>
      </c>
      <c r="AB78" s="52"/>
      <c r="AC78" s="212">
        <f>SUM(AC35:AC77)</f>
        <v>0</v>
      </c>
      <c r="AD78" s="76"/>
      <c r="AE78" s="77"/>
      <c r="AF78" s="188">
        <f>AB34</f>
        <v>0</v>
      </c>
      <c r="AG78" s="189">
        <f>AE34</f>
        <v>0</v>
      </c>
      <c r="AH78" s="827">
        <f>AI34</f>
        <v>0</v>
      </c>
      <c r="AI78" s="827">
        <f>AN34</f>
        <v>0</v>
      </c>
      <c r="AJ78" s="828">
        <f>AN45</f>
        <v>0</v>
      </c>
      <c r="AK78" s="828">
        <f>AN77</f>
        <v>0</v>
      </c>
      <c r="AL78" s="829">
        <f>AC78</f>
        <v>0</v>
      </c>
      <c r="AM78" s="69">
        <f>SUM(AF78:AL78)</f>
        <v>0</v>
      </c>
      <c r="AN78" s="190"/>
      <c r="AO78" s="21"/>
      <c r="AP78" s="14"/>
      <c r="AQ78" s="14"/>
      <c r="AR78" s="14"/>
      <c r="AS78" s="14"/>
      <c r="AT78" s="15"/>
      <c r="AU78" s="21"/>
      <c r="AV78" s="14"/>
      <c r="AW78" s="14"/>
      <c r="AX78" s="14"/>
      <c r="AY78" s="14"/>
      <c r="AZ78" s="15"/>
    </row>
    <row r="79" spans="1:24" ht="12" thickBot="1">
      <c r="A79" s="585"/>
      <c r="B79" s="586"/>
      <c r="C79" s="689" t="s">
        <v>114</v>
      </c>
      <c r="D79" s="587"/>
      <c r="E79" s="586"/>
      <c r="F79" s="20"/>
      <c r="H79" s="29"/>
      <c r="I79" s="26" t="s">
        <v>789</v>
      </c>
      <c r="J79" s="597" t="s">
        <v>790</v>
      </c>
      <c r="K79" s="595">
        <v>15</v>
      </c>
      <c r="L79" s="325" t="s">
        <v>788</v>
      </c>
      <c r="M79" s="667"/>
      <c r="N79" s="667"/>
      <c r="O79" s="295">
        <f>M12+15+K79+M79</f>
        <v>28</v>
      </c>
      <c r="P79" s="14"/>
      <c r="Q79" s="14"/>
      <c r="R79" s="14"/>
      <c r="S79" s="14"/>
      <c r="T79" s="14"/>
      <c r="U79" s="14"/>
      <c r="V79" s="21"/>
      <c r="W79" s="14"/>
      <c r="X79" s="15"/>
    </row>
    <row r="80" spans="1:8" ht="13.5" customHeight="1" thickBot="1">
      <c r="A80" s="593"/>
      <c r="B80" s="594"/>
      <c r="C80" s="690" t="s">
        <v>134</v>
      </c>
      <c r="D80" s="596"/>
      <c r="E80" s="595"/>
      <c r="F80" s="21"/>
      <c r="G80" s="14"/>
      <c r="H80" s="15"/>
    </row>
    <row r="81" spans="1:24" s="14" customFormat="1" ht="13.5" customHeight="1" thickBot="1">
      <c r="A81" s="20"/>
      <c r="B81" s="11"/>
      <c r="C81" s="11"/>
      <c r="D81" s="11"/>
      <c r="E81" s="11"/>
      <c r="F81" s="19"/>
      <c r="G81" s="9"/>
      <c r="H81" s="12"/>
      <c r="I81" s="20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7"/>
    </row>
    <row r="82" spans="6:8" ht="12" thickBot="1">
      <c r="F82" s="21"/>
      <c r="G82" s="14"/>
      <c r="H82" s="15"/>
    </row>
    <row r="83" spans="6:8" ht="12" thickBot="1">
      <c r="F83" s="21"/>
      <c r="G83" s="14"/>
      <c r="H83" s="15"/>
    </row>
    <row r="87" ht="11.25">
      <c r="Q87" s="205"/>
    </row>
  </sheetData>
  <mergeCells count="28">
    <mergeCell ref="AI77:AM77"/>
    <mergeCell ref="Y17:AB17"/>
    <mergeCell ref="AC17:AE17"/>
    <mergeCell ref="AF17:AI17"/>
    <mergeCell ref="AJ17:AN17"/>
    <mergeCell ref="AC29:AD29"/>
    <mergeCell ref="AD35:AM35"/>
    <mergeCell ref="AD45:AM45"/>
    <mergeCell ref="AD46:AM46"/>
    <mergeCell ref="AK16:AL16"/>
    <mergeCell ref="AM16:AN16"/>
    <mergeCell ref="AF34:AH34"/>
    <mergeCell ref="AJ34:AM34"/>
    <mergeCell ref="AG4:AH4"/>
    <mergeCell ref="AG16:AH16"/>
    <mergeCell ref="AI16:AJ16"/>
    <mergeCell ref="AI4:AJ4"/>
    <mergeCell ref="AI5:AJ5"/>
    <mergeCell ref="AI7:AJ7"/>
    <mergeCell ref="I34:J34"/>
    <mergeCell ref="L34:O34"/>
    <mergeCell ref="P34:Q34"/>
    <mergeCell ref="AG5:AH5"/>
    <mergeCell ref="P37:Q37"/>
    <mergeCell ref="R34:S34"/>
    <mergeCell ref="R15:S15"/>
    <mergeCell ref="O16:P16"/>
    <mergeCell ref="Q16:S16"/>
  </mergeCells>
  <conditionalFormatting sqref="AB11:AN11 Y11">
    <cfRule type="expression" priority="1" dxfId="0" stopIfTrue="1">
      <formula>($AM$78&lt;$Z$11)</formula>
    </cfRule>
    <cfRule type="expression" priority="2" dxfId="0" stopIfTrue="1">
      <formula>($AM$78&gt;$AA$11)</formula>
    </cfRule>
  </conditionalFormatting>
  <conditionalFormatting sqref="Y12:Y13 AB12:AN13">
    <cfRule type="expression" priority="3" dxfId="0" stopIfTrue="1">
      <formula>($AM$78&lt;$Z$12)</formula>
    </cfRule>
    <cfRule type="expression" priority="4" dxfId="0" stopIfTrue="1">
      <formula>($AM$78&gt;$AA$12)</formula>
    </cfRule>
  </conditionalFormatting>
  <conditionalFormatting sqref="Y10 AB10:AN10">
    <cfRule type="expression" priority="5" dxfId="0" stopIfTrue="1">
      <formula>($AM$78&lt;$Z$10)</formula>
    </cfRule>
    <cfRule type="expression" priority="6" dxfId="0" stopIfTrue="1">
      <formula>($AM$78&gt;$AA$10)</formula>
    </cfRule>
  </conditionalFormatting>
  <conditionalFormatting sqref="Y8:Y9 AB8:AN9">
    <cfRule type="expression" priority="7" dxfId="0" stopIfTrue="1">
      <formula>($AM$78&gt;$AA$8)</formula>
    </cfRule>
  </conditionalFormatting>
  <conditionalFormatting sqref="AB14:AN14 Y14">
    <cfRule type="expression" priority="8" dxfId="0" stopIfTrue="1">
      <formula>($AM$78&lt;$Z$14)</formula>
    </cfRule>
    <cfRule type="expression" priority="9" dxfId="0" stopIfTrue="1">
      <formula>($AM$78&gt;$AA$14)</formula>
    </cfRule>
  </conditionalFormatting>
  <conditionalFormatting sqref="Y15 AB15:AN15">
    <cfRule type="expression" priority="10" dxfId="0" stopIfTrue="1">
      <formula>($AM$78&lt;$AA$14)</formula>
    </cfRule>
  </conditionalFormatting>
  <conditionalFormatting sqref="Z10:AA10">
    <cfRule type="expression" priority="11" dxfId="1" stopIfTrue="1">
      <formula>$AM$78&lt;$Z$10</formula>
    </cfRule>
    <cfRule type="expression" priority="12" dxfId="1" stopIfTrue="1">
      <formula>$AM$78&gt;$AA$10</formula>
    </cfRule>
  </conditionalFormatting>
  <conditionalFormatting sqref="Z11:AA11">
    <cfRule type="expression" priority="13" dxfId="1" stopIfTrue="1">
      <formula>$AM$78&lt;$Z$11</formula>
    </cfRule>
    <cfRule type="expression" priority="14" dxfId="1" stopIfTrue="1">
      <formula>$AM$78&gt;$AA$11</formula>
    </cfRule>
  </conditionalFormatting>
  <conditionalFormatting sqref="Z12:AA13">
    <cfRule type="expression" priority="15" dxfId="1" stopIfTrue="1">
      <formula>$AM$78&lt;$Z$12</formula>
    </cfRule>
    <cfRule type="expression" priority="16" dxfId="1" stopIfTrue="1">
      <formula>$AM$78&gt;$AA$12</formula>
    </cfRule>
  </conditionalFormatting>
  <conditionalFormatting sqref="Z14:AA14">
    <cfRule type="expression" priority="17" dxfId="1" stopIfTrue="1">
      <formula>$AM$78&lt;$Z$14</formula>
    </cfRule>
    <cfRule type="expression" priority="18" dxfId="1" stopIfTrue="1">
      <formula>$AM$78&gt;$AA$14</formula>
    </cfRule>
  </conditionalFormatting>
  <conditionalFormatting sqref="Z15">
    <cfRule type="expression" priority="19" dxfId="2" stopIfTrue="1">
      <formula>$AM$78&gt;$AA$14</formula>
    </cfRule>
  </conditionalFormatting>
  <conditionalFormatting sqref="Z8:AA9">
    <cfRule type="expression" priority="20" dxfId="1" stopIfTrue="1">
      <formula>($AM$78&lt;$Z$8)</formula>
    </cfRule>
    <cfRule type="expression" priority="21" dxfId="1" stopIfTrue="1">
      <formula>($AM$78&gt;$AA$8)</formula>
    </cfRule>
  </conditionalFormatting>
  <conditionalFormatting sqref="AA15">
    <cfRule type="expression" priority="22" dxfId="3" stopIfTrue="1">
      <formula>$AM$78&gt;$Z$15</formula>
    </cfRule>
  </conditionalFormatting>
  <conditionalFormatting sqref="A24">
    <cfRule type="expression" priority="23" dxfId="2" stopIfTrue="1">
      <formula>$B$24&gt;=($A$37-1)</formula>
    </cfRule>
  </conditionalFormatting>
  <conditionalFormatting sqref="A25">
    <cfRule type="expression" priority="24" dxfId="2" stopIfTrue="1">
      <formula>$B$25&gt;=($A$37-1)</formula>
    </cfRule>
  </conditionalFormatting>
  <conditionalFormatting sqref="A26">
    <cfRule type="expression" priority="25" dxfId="2" stopIfTrue="1">
      <formula>$B$26&gt;=($A$37-1)</formula>
    </cfRule>
  </conditionalFormatting>
  <conditionalFormatting sqref="A28">
    <cfRule type="expression" priority="26" dxfId="2" stopIfTrue="1">
      <formula>$B$28&gt;=($A$37-1)</formula>
    </cfRule>
  </conditionalFormatting>
  <conditionalFormatting sqref="A29">
    <cfRule type="expression" priority="27" dxfId="2" stopIfTrue="1">
      <formula>$B$29&gt;=($A$37-1)</formula>
    </cfRule>
  </conditionalFormatting>
  <conditionalFormatting sqref="A30">
    <cfRule type="expression" priority="28" dxfId="2" stopIfTrue="1">
      <formula>$B$30&gt;=($A$37-1)</formula>
    </cfRule>
  </conditionalFormatting>
  <conditionalFormatting sqref="A31">
    <cfRule type="expression" priority="29" dxfId="2" stopIfTrue="1">
      <formula>$B$31&gt;=($A$37-1)</formula>
    </cfRule>
  </conditionalFormatting>
  <conditionalFormatting sqref="A32">
    <cfRule type="expression" priority="30" dxfId="2" stopIfTrue="1">
      <formula>$B$32&gt;=($A$37-1)</formula>
    </cfRule>
  </conditionalFormatting>
  <conditionalFormatting sqref="A33">
    <cfRule type="expression" priority="31" dxfId="2" stopIfTrue="1">
      <formula>$B$33&gt;=($A$37-1)</formula>
    </cfRule>
  </conditionalFormatting>
  <conditionalFormatting sqref="A34">
    <cfRule type="expression" priority="32" dxfId="2" stopIfTrue="1">
      <formula>$B$34&gt;=($A$37-1)</formula>
    </cfRule>
  </conditionalFormatting>
  <conditionalFormatting sqref="A35">
    <cfRule type="expression" priority="33" dxfId="2" stopIfTrue="1">
      <formula>$B$35&gt;=($A$37-1)</formula>
    </cfRule>
  </conditionalFormatting>
  <conditionalFormatting sqref="A36">
    <cfRule type="expression" priority="34" dxfId="2" stopIfTrue="1">
      <formula>$B$36&gt;=($A$37-1)</formula>
    </cfRule>
  </conditionalFormatting>
  <conditionalFormatting sqref="C24">
    <cfRule type="expression" priority="35" dxfId="2" stopIfTrue="1">
      <formula>$B$24&lt;=($C$37+1)</formula>
    </cfRule>
  </conditionalFormatting>
  <conditionalFormatting sqref="C25">
    <cfRule type="expression" priority="36" dxfId="2" stopIfTrue="1">
      <formula>$B$25&lt;=($C$37+1)</formula>
    </cfRule>
  </conditionalFormatting>
  <conditionalFormatting sqref="C26">
    <cfRule type="expression" priority="37" dxfId="2" stopIfTrue="1">
      <formula>$B$26&lt;=($C$37+1)</formula>
    </cfRule>
  </conditionalFormatting>
  <conditionalFormatting sqref="C28">
    <cfRule type="expression" priority="38" dxfId="2" stopIfTrue="1">
      <formula>$B$28&lt;=($C$37+1)</formula>
    </cfRule>
  </conditionalFormatting>
  <conditionalFormatting sqref="C29">
    <cfRule type="expression" priority="39" dxfId="2" stopIfTrue="1">
      <formula>$B$29&lt;=($C$37+1)</formula>
    </cfRule>
  </conditionalFormatting>
  <conditionalFormatting sqref="C30">
    <cfRule type="expression" priority="40" dxfId="2" stopIfTrue="1">
      <formula>$B$30&lt;=($C$37+1)</formula>
    </cfRule>
  </conditionalFormatting>
  <conditionalFormatting sqref="C31">
    <cfRule type="expression" priority="41" dxfId="2" stopIfTrue="1">
      <formula>$B$31&lt;=($C$37+1)</formula>
    </cfRule>
  </conditionalFormatting>
  <conditionalFormatting sqref="C32">
    <cfRule type="expression" priority="42" dxfId="2" stopIfTrue="1">
      <formula>$B$32&lt;=($C$37+1)</formula>
    </cfRule>
  </conditionalFormatting>
  <conditionalFormatting sqref="C33">
    <cfRule type="expression" priority="43" dxfId="2" stopIfTrue="1">
      <formula>$B$33&lt;=($C$37+1)</formula>
    </cfRule>
  </conditionalFormatting>
  <conditionalFormatting sqref="C34">
    <cfRule type="expression" priority="44" dxfId="2" stopIfTrue="1">
      <formula>$B$34&lt;=($C$37+1)</formula>
    </cfRule>
  </conditionalFormatting>
  <conditionalFormatting sqref="C35">
    <cfRule type="expression" priority="45" dxfId="2" stopIfTrue="1">
      <formula>$B$35&lt;=($C$37+1)</formula>
    </cfRule>
  </conditionalFormatting>
  <conditionalFormatting sqref="C36">
    <cfRule type="expression" priority="46" dxfId="2" stopIfTrue="1">
      <formula>$B$36&lt;=($C$37+1)</formula>
    </cfRule>
  </conditionalFormatting>
  <printOptions/>
  <pageMargins left="0.1" right="0.1" top="0" bottom="0" header="0.5" footer="0.5"/>
  <pageSetup horizontalDpi="180" verticalDpi="180" orientation="portrait" paperSize="9" scale="87" r:id="rId1"/>
  <colBreaks count="3" manualBreakCount="3">
    <brk id="8" max="79" man="1"/>
    <brk id="24" max="79" man="1"/>
    <brk id="40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A1" sqref="A1:IV16384"/>
    </sheetView>
  </sheetViews>
  <sheetFormatPr defaultColWidth="9.140625" defaultRowHeight="12.75"/>
  <cols>
    <col min="1" max="1" width="5.28125" style="161" customWidth="1"/>
    <col min="2" max="2" width="4.7109375" style="161" bestFit="1" customWidth="1"/>
    <col min="3" max="3" width="4.28125" style="161" bestFit="1" customWidth="1"/>
    <col min="4" max="4" width="7.28125" style="160" customWidth="1"/>
    <col min="5" max="5" width="5.8515625" style="256" bestFit="1" customWidth="1"/>
    <col min="6" max="16384" width="9.140625" style="161" customWidth="1"/>
  </cols>
  <sheetData>
    <row r="1" spans="1:7" ht="11.25">
      <c r="A1" s="253"/>
      <c r="E1" s="254"/>
      <c r="G1" s="251"/>
    </row>
    <row r="2" spans="1:7" ht="9">
      <c r="A2" s="255"/>
      <c r="G2" s="251"/>
    </row>
    <row r="3" spans="1:7" ht="9">
      <c r="A3" s="160"/>
      <c r="B3" s="160"/>
      <c r="C3" s="160"/>
      <c r="G3" s="251"/>
    </row>
    <row r="4" spans="1:7" ht="9">
      <c r="A4" s="251"/>
      <c r="G4" s="251"/>
    </row>
    <row r="5" spans="1:7" ht="9">
      <c r="A5" s="160"/>
      <c r="B5" s="160"/>
      <c r="C5" s="160"/>
      <c r="G5" s="251"/>
    </row>
    <row r="6" spans="1:7" ht="9">
      <c r="A6" s="160"/>
      <c r="B6" s="160"/>
      <c r="C6" s="160"/>
      <c r="F6" s="160"/>
      <c r="G6" s="251"/>
    </row>
    <row r="7" spans="1:8" ht="9">
      <c r="A7" s="160"/>
      <c r="B7" s="160"/>
      <c r="C7" s="160"/>
      <c r="F7" s="160"/>
      <c r="G7" s="251"/>
      <c r="H7" s="160"/>
    </row>
    <row r="8" spans="1:9" ht="9">
      <c r="A8" s="160"/>
      <c r="B8" s="160"/>
      <c r="C8" s="160"/>
      <c r="F8" s="160"/>
      <c r="G8" s="251"/>
      <c r="H8" s="160"/>
      <c r="I8" s="160"/>
    </row>
    <row r="9" spans="1:10" ht="9">
      <c r="A9" s="160"/>
      <c r="B9" s="160"/>
      <c r="C9" s="160"/>
      <c r="F9" s="160"/>
      <c r="G9" s="251"/>
      <c r="H9" s="160"/>
      <c r="I9" s="160"/>
      <c r="J9" s="251"/>
    </row>
    <row r="10" spans="1:11" ht="9">
      <c r="A10" s="160"/>
      <c r="B10" s="160"/>
      <c r="C10" s="160"/>
      <c r="F10" s="160"/>
      <c r="G10" s="251"/>
      <c r="H10" s="251"/>
      <c r="I10" s="251"/>
      <c r="J10" s="251"/>
      <c r="K10" s="251"/>
    </row>
    <row r="11" spans="1:12" ht="9">
      <c r="A11" s="160"/>
      <c r="B11" s="160"/>
      <c r="C11" s="160"/>
      <c r="F11" s="160"/>
      <c r="G11" s="251"/>
      <c r="H11" s="251"/>
      <c r="I11" s="251"/>
      <c r="J11" s="251"/>
      <c r="K11" s="251"/>
      <c r="L11" s="160"/>
    </row>
    <row r="12" spans="1:13" ht="9">
      <c r="A12" s="160"/>
      <c r="B12" s="160"/>
      <c r="C12" s="160"/>
      <c r="F12" s="160"/>
      <c r="G12" s="251"/>
      <c r="H12" s="251"/>
      <c r="I12" s="251"/>
      <c r="J12" s="251"/>
      <c r="K12" s="251"/>
      <c r="L12" s="160"/>
      <c r="M12" s="160"/>
    </row>
    <row r="13" spans="1:14" ht="9">
      <c r="A13" s="160"/>
      <c r="B13" s="160"/>
      <c r="C13" s="160"/>
      <c r="F13" s="160"/>
      <c r="G13" s="251"/>
      <c r="H13" s="251"/>
      <c r="I13" s="251"/>
      <c r="J13" s="251"/>
      <c r="K13" s="251"/>
      <c r="L13" s="160"/>
      <c r="M13" s="160"/>
      <c r="N13" s="160"/>
    </row>
    <row r="14" spans="1:15" ht="9">
      <c r="A14" s="160"/>
      <c r="B14" s="160"/>
      <c r="C14" s="160"/>
      <c r="F14" s="160"/>
      <c r="G14" s="251"/>
      <c r="H14" s="251"/>
      <c r="I14" s="251"/>
      <c r="J14" s="251"/>
      <c r="K14" s="251"/>
      <c r="L14" s="160"/>
      <c r="M14" s="160"/>
      <c r="N14" s="160"/>
      <c r="O14" s="160"/>
    </row>
    <row r="15" spans="1:16" ht="9">
      <c r="A15" s="160"/>
      <c r="B15" s="160"/>
      <c r="C15" s="160"/>
      <c r="F15" s="160"/>
      <c r="G15" s="251"/>
      <c r="H15" s="251"/>
      <c r="I15" s="251"/>
      <c r="J15" s="251"/>
      <c r="K15" s="251"/>
      <c r="L15" s="160"/>
      <c r="M15" s="160"/>
      <c r="N15" s="160"/>
      <c r="O15" s="160"/>
      <c r="P15" s="160"/>
    </row>
    <row r="16" spans="1:17" ht="9">
      <c r="A16" s="160"/>
      <c r="B16" s="160"/>
      <c r="C16" s="160"/>
      <c r="F16" s="160"/>
      <c r="G16" s="251"/>
      <c r="H16" s="251"/>
      <c r="I16" s="251"/>
      <c r="J16" s="251"/>
      <c r="K16" s="251"/>
      <c r="L16" s="160"/>
      <c r="M16" s="160"/>
      <c r="N16" s="160"/>
      <c r="O16" s="160"/>
      <c r="P16" s="160"/>
      <c r="Q16" s="160"/>
    </row>
    <row r="17" spans="1:18" ht="9">
      <c r="A17" s="160"/>
      <c r="B17" s="160"/>
      <c r="C17" s="160"/>
      <c r="F17" s="160"/>
      <c r="G17" s="251"/>
      <c r="H17" s="251"/>
      <c r="I17" s="251"/>
      <c r="J17" s="251"/>
      <c r="K17" s="251"/>
      <c r="L17" s="160"/>
      <c r="M17" s="160"/>
      <c r="N17" s="160"/>
      <c r="O17" s="160"/>
      <c r="P17" s="160"/>
      <c r="Q17" s="160"/>
      <c r="R17" s="160"/>
    </row>
    <row r="18" spans="1:19" ht="9">
      <c r="A18" s="160"/>
      <c r="B18" s="160"/>
      <c r="C18" s="160"/>
      <c r="F18" s="160"/>
      <c r="G18" s="251"/>
      <c r="H18" s="251"/>
      <c r="I18" s="251"/>
      <c r="J18" s="251"/>
      <c r="K18" s="251"/>
      <c r="L18" s="160"/>
      <c r="M18" s="160"/>
      <c r="N18" s="160"/>
      <c r="O18" s="160"/>
      <c r="P18" s="160"/>
      <c r="Q18" s="160"/>
      <c r="R18" s="160"/>
      <c r="S18" s="160"/>
    </row>
    <row r="19" spans="1:20" ht="9">
      <c r="A19" s="160"/>
      <c r="B19" s="160"/>
      <c r="C19" s="160"/>
      <c r="F19" s="160"/>
      <c r="G19" s="251"/>
      <c r="H19" s="251"/>
      <c r="I19" s="251"/>
      <c r="J19" s="251"/>
      <c r="K19" s="251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11" ht="9">
      <c r="A20" s="160"/>
      <c r="B20" s="160"/>
      <c r="C20" s="160"/>
      <c r="G20" s="251"/>
      <c r="H20" s="251"/>
      <c r="I20" s="251"/>
      <c r="J20" s="251"/>
      <c r="K20" s="251"/>
    </row>
    <row r="21" spans="1:11" ht="9">
      <c r="A21" s="160"/>
      <c r="B21" s="160"/>
      <c r="C21" s="160"/>
      <c r="F21" s="162"/>
      <c r="G21" s="251"/>
      <c r="H21" s="251"/>
      <c r="I21" s="251"/>
      <c r="J21" s="251"/>
      <c r="K21" s="251"/>
    </row>
    <row r="22" spans="2:11" ht="9">
      <c r="B22" s="160"/>
      <c r="C22" s="160"/>
      <c r="F22" s="162"/>
      <c r="G22" s="163"/>
      <c r="H22" s="163"/>
      <c r="I22" s="251"/>
      <c r="J22" s="251"/>
      <c r="K22" s="251"/>
    </row>
    <row r="23" spans="7:11" ht="9">
      <c r="G23" s="251"/>
      <c r="H23" s="251"/>
      <c r="I23" s="251"/>
      <c r="J23" s="251"/>
      <c r="K23" s="251"/>
    </row>
    <row r="25" spans="1:3" ht="9">
      <c r="A25" s="257"/>
      <c r="B25" s="257"/>
      <c r="C25" s="257"/>
    </row>
    <row r="26" ht="9">
      <c r="C26" s="257"/>
    </row>
    <row r="30" ht="9">
      <c r="F30" s="162"/>
    </row>
    <row r="31" spans="6:7" ht="9">
      <c r="F31" s="162"/>
      <c r="G31" s="162"/>
    </row>
    <row r="32" spans="6:8" ht="9">
      <c r="F32" s="162"/>
      <c r="G32" s="162"/>
      <c r="H32" s="162"/>
    </row>
    <row r="33" spans="6:9" ht="9">
      <c r="F33" s="162"/>
      <c r="G33" s="162"/>
      <c r="H33" s="162"/>
      <c r="I33" s="162"/>
    </row>
    <row r="34" spans="6:10" ht="9">
      <c r="F34" s="162"/>
      <c r="G34" s="162"/>
      <c r="H34" s="162"/>
      <c r="I34" s="162"/>
      <c r="J34" s="162"/>
    </row>
    <row r="35" spans="6:11" ht="9">
      <c r="F35" s="162"/>
      <c r="G35" s="162"/>
      <c r="H35" s="162"/>
      <c r="I35" s="162"/>
      <c r="J35" s="162"/>
      <c r="K35" s="162"/>
    </row>
    <row r="36" spans="6:12" ht="9">
      <c r="F36" s="162"/>
      <c r="G36" s="162"/>
      <c r="H36" s="162"/>
      <c r="I36" s="162"/>
      <c r="J36" s="162"/>
      <c r="K36" s="162"/>
      <c r="L36" s="162"/>
    </row>
    <row r="37" spans="6:13" ht="9">
      <c r="F37" s="162"/>
      <c r="G37" s="162"/>
      <c r="H37" s="162"/>
      <c r="I37" s="162"/>
      <c r="J37" s="162"/>
      <c r="K37" s="162"/>
      <c r="L37" s="162"/>
      <c r="M37" s="162"/>
    </row>
    <row r="38" spans="6:14" ht="9">
      <c r="F38" s="162"/>
      <c r="G38" s="162"/>
      <c r="H38" s="162"/>
      <c r="I38" s="162"/>
      <c r="J38" s="162"/>
      <c r="K38" s="162"/>
      <c r="L38" s="162"/>
      <c r="M38" s="162"/>
      <c r="N38" s="162"/>
    </row>
    <row r="39" spans="6:15" ht="9">
      <c r="F39" s="162"/>
      <c r="G39" s="162"/>
      <c r="H39" s="162"/>
      <c r="I39" s="162"/>
      <c r="J39" s="162"/>
      <c r="K39" s="162"/>
      <c r="L39" s="162"/>
      <c r="M39" s="162"/>
      <c r="N39" s="162"/>
      <c r="O39" s="162"/>
    </row>
    <row r="40" spans="6:16" ht="9"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6:17" ht="9"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6:18" ht="9"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</row>
    <row r="43" spans="6:19" ht="9"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</row>
    <row r="44" spans="6:20" ht="9"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</row>
    <row r="45" spans="6:21" ht="9"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</row>
    <row r="46" spans="6:22" ht="9"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</row>
    <row r="47" spans="6:23" ht="9"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</sheetData>
  <printOptions/>
  <pageMargins left="0" right="0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69"/>
  <sheetViews>
    <sheetView workbookViewId="0" topLeftCell="A1">
      <selection activeCell="K38" sqref="K38"/>
    </sheetView>
  </sheetViews>
  <sheetFormatPr defaultColWidth="9.140625" defaultRowHeight="12.75"/>
  <cols>
    <col min="1" max="1" width="12.28125" style="394" bestFit="1" customWidth="1"/>
    <col min="2" max="2" width="12.57421875" style="398" bestFit="1" customWidth="1"/>
    <col min="3" max="3" width="2.8515625" style="400" customWidth="1"/>
    <col min="4" max="9" width="2.8515625" style="401" customWidth="1"/>
    <col min="10" max="10" width="2.7109375" style="401" customWidth="1"/>
    <col min="11" max="11" width="4.421875" style="420" customWidth="1"/>
    <col min="12" max="12" width="6.8515625" style="419" bestFit="1" customWidth="1"/>
    <col min="13" max="13" width="4.140625" style="456" customWidth="1"/>
    <col min="14" max="20" width="3.00390625" style="419" customWidth="1"/>
    <col min="21" max="21" width="4.7109375" style="419" bestFit="1" customWidth="1"/>
    <col min="22" max="22" width="5.140625" style="419" bestFit="1" customWidth="1"/>
    <col min="23" max="23" width="3.57421875" style="419" bestFit="1" customWidth="1"/>
    <col min="24" max="24" width="2.7109375" style="419" bestFit="1" customWidth="1"/>
    <col min="25" max="28" width="2.57421875" style="419" customWidth="1"/>
    <col min="29" max="29" width="6.7109375" style="419" bestFit="1" customWidth="1"/>
    <col min="30" max="30" width="3.57421875" style="456" bestFit="1" customWidth="1"/>
    <col min="31" max="31" width="3.7109375" style="419" bestFit="1" customWidth="1"/>
    <col min="32" max="32" width="2.140625" style="419" customWidth="1"/>
    <col min="33" max="39" width="2.140625" style="419" bestFit="1" customWidth="1"/>
    <col min="40" max="40" width="2.421875" style="419" bestFit="1" customWidth="1"/>
    <col min="41" max="41" width="3.140625" style="419" bestFit="1" customWidth="1"/>
    <col min="42" max="42" width="3.140625" style="419" customWidth="1"/>
    <col min="43" max="44" width="3.140625" style="419" bestFit="1" customWidth="1"/>
    <col min="45" max="45" width="6.57421875" style="419" bestFit="1" customWidth="1"/>
    <col min="46" max="46" width="3.421875" style="456" bestFit="1" customWidth="1"/>
    <col min="47" max="47" width="3.421875" style="419" bestFit="1" customWidth="1"/>
    <col min="48" max="48" width="2.140625" style="419" customWidth="1"/>
    <col min="49" max="54" width="2.140625" style="419" bestFit="1" customWidth="1"/>
    <col min="55" max="59" width="2.57421875" style="419" customWidth="1"/>
    <col min="60" max="60" width="5.57421875" style="419" bestFit="1" customWidth="1"/>
    <col min="61" max="61" width="7.421875" style="419" bestFit="1" customWidth="1"/>
    <col min="62" max="62" width="6.8515625" style="419" bestFit="1" customWidth="1"/>
    <col min="63" max="63" width="3.421875" style="456" bestFit="1" customWidth="1"/>
    <col min="64" max="64" width="4.421875" style="419" bestFit="1" customWidth="1"/>
    <col min="65" max="68" width="3.57421875" style="419" customWidth="1"/>
    <col min="69" max="69" width="16.00390625" style="419" bestFit="1" customWidth="1"/>
    <col min="70" max="70" width="6.421875" style="419" customWidth="1"/>
    <col min="71" max="71" width="7.00390625" style="419" bestFit="1" customWidth="1"/>
    <col min="72" max="72" width="9.140625" style="419" customWidth="1"/>
    <col min="73" max="73" width="3.28125" style="419" bestFit="1" customWidth="1"/>
    <col min="74" max="74" width="4.00390625" style="419" customWidth="1"/>
    <col min="75" max="75" width="3.421875" style="419" bestFit="1" customWidth="1"/>
    <col min="76" max="76" width="3.57421875" style="419" bestFit="1" customWidth="1"/>
    <col min="77" max="77" width="3.28125" style="419" bestFit="1" customWidth="1"/>
    <col min="78" max="78" width="3.7109375" style="419" bestFit="1" customWidth="1"/>
    <col min="79" max="79" width="3.57421875" style="419" bestFit="1" customWidth="1"/>
    <col min="80" max="80" width="5.7109375" style="419" bestFit="1" customWidth="1"/>
    <col min="81" max="81" width="3.28125" style="419" bestFit="1" customWidth="1"/>
    <col min="82" max="82" width="3.57421875" style="419" bestFit="1" customWidth="1"/>
    <col min="83" max="83" width="3.421875" style="419" bestFit="1" customWidth="1"/>
    <col min="84" max="86" width="2.57421875" style="419" customWidth="1"/>
    <col min="87" max="87" width="24.8515625" style="419" bestFit="1" customWidth="1"/>
    <col min="88" max="16384" width="9.140625" style="419" customWidth="1"/>
  </cols>
  <sheetData>
    <row r="1" spans="1:89" ht="9">
      <c r="A1" s="394" t="s">
        <v>387</v>
      </c>
      <c r="B1" s="398" t="s">
        <v>359</v>
      </c>
      <c r="C1" s="400" t="s">
        <v>335</v>
      </c>
      <c r="D1" s="401" t="s">
        <v>330</v>
      </c>
      <c r="E1" s="401" t="s">
        <v>330</v>
      </c>
      <c r="F1" s="401" t="s">
        <v>340</v>
      </c>
      <c r="G1" s="401" t="s">
        <v>340</v>
      </c>
      <c r="H1" s="401" t="s">
        <v>330</v>
      </c>
      <c r="I1" s="401" t="s">
        <v>350</v>
      </c>
      <c r="J1" s="401" t="s">
        <v>389</v>
      </c>
      <c r="K1" s="402" t="s">
        <v>388</v>
      </c>
      <c r="L1" s="403" t="s">
        <v>359</v>
      </c>
      <c r="M1" s="402" t="s">
        <v>593</v>
      </c>
      <c r="N1" s="401" t="s">
        <v>335</v>
      </c>
      <c r="O1" s="401" t="s">
        <v>330</v>
      </c>
      <c r="P1" s="401" t="s">
        <v>335</v>
      </c>
      <c r="Q1" s="401" t="s">
        <v>330</v>
      </c>
      <c r="R1" s="401" t="s">
        <v>330</v>
      </c>
      <c r="S1" s="401" t="s">
        <v>445</v>
      </c>
      <c r="T1" s="401" t="s">
        <v>403</v>
      </c>
      <c r="U1" s="399" t="s">
        <v>594</v>
      </c>
      <c r="V1" s="401" t="s">
        <v>369</v>
      </c>
      <c r="W1" s="404" t="s">
        <v>369</v>
      </c>
      <c r="X1" s="400" t="s">
        <v>333</v>
      </c>
      <c r="Y1" s="401" t="s">
        <v>334</v>
      </c>
      <c r="Z1" s="401" t="s">
        <v>333</v>
      </c>
      <c r="AA1" s="401" t="s">
        <v>336</v>
      </c>
      <c r="AB1" s="404" t="s">
        <v>335</v>
      </c>
      <c r="AC1" s="405">
        <v>0</v>
      </c>
      <c r="AD1" s="404" t="s">
        <v>388</v>
      </c>
      <c r="AE1" s="406">
        <v>1</v>
      </c>
      <c r="AF1" s="407" t="s">
        <v>369</v>
      </c>
      <c r="AG1" s="407" t="s">
        <v>369</v>
      </c>
      <c r="AH1" s="407" t="s">
        <v>369</v>
      </c>
      <c r="AI1" s="407" t="s">
        <v>369</v>
      </c>
      <c r="AJ1" s="407" t="s">
        <v>369</v>
      </c>
      <c r="AK1" s="407" t="s">
        <v>369</v>
      </c>
      <c r="AL1" s="407" t="s">
        <v>369</v>
      </c>
      <c r="AM1" s="408" t="s">
        <v>369</v>
      </c>
      <c r="AN1" s="406">
        <v>13</v>
      </c>
      <c r="AO1" s="407">
        <v>14</v>
      </c>
      <c r="AP1" s="407">
        <v>13</v>
      </c>
      <c r="AQ1" s="407">
        <v>16</v>
      </c>
      <c r="AR1" s="408">
        <v>15</v>
      </c>
      <c r="AS1" s="405" t="s">
        <v>359</v>
      </c>
      <c r="AT1" s="409" t="s">
        <v>593</v>
      </c>
      <c r="AU1" s="410" t="s">
        <v>369</v>
      </c>
      <c r="AV1" s="410" t="s">
        <v>369</v>
      </c>
      <c r="AW1" s="410" t="s">
        <v>369</v>
      </c>
      <c r="AX1" s="410" t="s">
        <v>369</v>
      </c>
      <c r="AY1" s="410" t="s">
        <v>369</v>
      </c>
      <c r="AZ1" s="410" t="s">
        <v>369</v>
      </c>
      <c r="BA1" s="411" t="s">
        <v>369</v>
      </c>
      <c r="BB1" s="412" t="s">
        <v>331</v>
      </c>
      <c r="BC1" s="410" t="s">
        <v>332</v>
      </c>
      <c r="BD1" s="410" t="s">
        <v>334</v>
      </c>
      <c r="BE1" s="410" t="s">
        <v>336</v>
      </c>
      <c r="BF1" s="411" t="s">
        <v>335</v>
      </c>
      <c r="BG1" s="406" t="s">
        <v>711</v>
      </c>
      <c r="BH1" s="402" t="s">
        <v>390</v>
      </c>
      <c r="BI1" s="413"/>
      <c r="BJ1" s="414" t="s">
        <v>359</v>
      </c>
      <c r="BK1" s="404" t="s">
        <v>537</v>
      </c>
      <c r="BL1" s="400" t="s">
        <v>332</v>
      </c>
      <c r="BM1" s="401" t="s">
        <v>333</v>
      </c>
      <c r="BN1" s="401" t="s">
        <v>334</v>
      </c>
      <c r="BO1" s="401" t="s">
        <v>335</v>
      </c>
      <c r="BP1" s="404" t="s">
        <v>336</v>
      </c>
      <c r="BQ1" s="402" t="s">
        <v>538</v>
      </c>
      <c r="BR1" s="415" t="s">
        <v>410</v>
      </c>
      <c r="BS1" s="413"/>
      <c r="BT1" s="401" t="s">
        <v>359</v>
      </c>
      <c r="BU1" s="401" t="s">
        <v>593</v>
      </c>
      <c r="BV1" s="400" t="s">
        <v>340</v>
      </c>
      <c r="BW1" s="401" t="s">
        <v>330</v>
      </c>
      <c r="BX1" s="401" t="s">
        <v>350</v>
      </c>
      <c r="BY1" s="401" t="s">
        <v>325</v>
      </c>
      <c r="BZ1" s="404" t="s">
        <v>455</v>
      </c>
      <c r="CA1" s="400" t="s">
        <v>333</v>
      </c>
      <c r="CB1" s="401" t="s">
        <v>334</v>
      </c>
      <c r="CC1" s="401" t="s">
        <v>333</v>
      </c>
      <c r="CD1" s="401" t="s">
        <v>336</v>
      </c>
      <c r="CE1" s="401" t="s">
        <v>335</v>
      </c>
      <c r="CF1" s="416" t="s">
        <v>369</v>
      </c>
      <c r="CG1" s="417" t="s">
        <v>369</v>
      </c>
      <c r="CH1" s="418" t="s">
        <v>369</v>
      </c>
      <c r="CI1" s="413"/>
      <c r="CJ1" s="402" t="s">
        <v>387</v>
      </c>
      <c r="CK1" s="401" t="s">
        <v>690</v>
      </c>
    </row>
    <row r="2" spans="1:89" ht="9">
      <c r="A2" s="394" t="s">
        <v>322</v>
      </c>
      <c r="B2" s="398" t="s">
        <v>391</v>
      </c>
      <c r="C2" s="400" t="s">
        <v>340</v>
      </c>
      <c r="D2" s="401" t="s">
        <v>335</v>
      </c>
      <c r="E2" s="401" t="s">
        <v>335</v>
      </c>
      <c r="F2" s="401" t="s">
        <v>345</v>
      </c>
      <c r="G2" s="401" t="s">
        <v>345</v>
      </c>
      <c r="H2" s="401" t="s">
        <v>335</v>
      </c>
      <c r="I2" s="401" t="s">
        <v>393</v>
      </c>
      <c r="J2" s="401" t="s">
        <v>394</v>
      </c>
      <c r="K2" s="402" t="s">
        <v>392</v>
      </c>
      <c r="L2" s="403" t="s">
        <v>595</v>
      </c>
      <c r="M2" s="402" t="s">
        <v>596</v>
      </c>
      <c r="N2" s="401" t="s">
        <v>338</v>
      </c>
      <c r="O2" s="401" t="s">
        <v>335</v>
      </c>
      <c r="P2" s="401" t="s">
        <v>341</v>
      </c>
      <c r="Q2" s="401" t="s">
        <v>335</v>
      </c>
      <c r="R2" s="401" t="s">
        <v>332</v>
      </c>
      <c r="S2" s="401" t="s">
        <v>367</v>
      </c>
      <c r="T2" s="401" t="s">
        <v>418</v>
      </c>
      <c r="U2" s="399" t="s">
        <v>597</v>
      </c>
      <c r="V2" s="401" t="s">
        <v>369</v>
      </c>
      <c r="W2" s="404" t="s">
        <v>369</v>
      </c>
      <c r="X2" s="400"/>
      <c r="Y2" s="401"/>
      <c r="Z2" s="401"/>
      <c r="AA2" s="401"/>
      <c r="AB2" s="404"/>
      <c r="AC2" s="420">
        <v>2500</v>
      </c>
      <c r="AD2" s="404" t="s">
        <v>392</v>
      </c>
      <c r="AE2" s="421">
        <v>2</v>
      </c>
      <c r="AF2" s="422" t="s">
        <v>369</v>
      </c>
      <c r="AG2" s="422" t="s">
        <v>369</v>
      </c>
      <c r="AH2" s="422" t="s">
        <v>369</v>
      </c>
      <c r="AI2" s="422" t="s">
        <v>369</v>
      </c>
      <c r="AJ2" s="422" t="s">
        <v>369</v>
      </c>
      <c r="AK2" s="422" t="s">
        <v>369</v>
      </c>
      <c r="AL2" s="422" t="s">
        <v>369</v>
      </c>
      <c r="AM2" s="423" t="s">
        <v>369</v>
      </c>
      <c r="AN2" s="421">
        <v>13</v>
      </c>
      <c r="AO2" s="422">
        <v>14</v>
      </c>
      <c r="AP2" s="422">
        <v>13</v>
      </c>
      <c r="AQ2" s="422">
        <v>16</v>
      </c>
      <c r="AR2" s="423">
        <v>15</v>
      </c>
      <c r="AS2" s="420" t="s">
        <v>743</v>
      </c>
      <c r="AT2" s="424" t="s">
        <v>744</v>
      </c>
      <c r="AU2" s="415" t="s">
        <v>387</v>
      </c>
      <c r="AV2" s="415" t="s">
        <v>369</v>
      </c>
      <c r="AW2" s="415" t="s">
        <v>369</v>
      </c>
      <c r="AX2" s="415" t="s">
        <v>369</v>
      </c>
      <c r="AY2" s="415" t="s">
        <v>369</v>
      </c>
      <c r="AZ2" s="415" t="s">
        <v>369</v>
      </c>
      <c r="BA2" s="413" t="s">
        <v>369</v>
      </c>
      <c r="BB2" s="425"/>
      <c r="BC2" s="415"/>
      <c r="BD2" s="415"/>
      <c r="BE2" s="415"/>
      <c r="BF2" s="413"/>
      <c r="BG2" s="421"/>
      <c r="BH2" s="402"/>
      <c r="BI2" s="413"/>
      <c r="BJ2" s="414" t="s">
        <v>539</v>
      </c>
      <c r="BK2" s="404" t="s">
        <v>540</v>
      </c>
      <c r="BL2" s="400" t="s">
        <v>332</v>
      </c>
      <c r="BM2" s="401" t="s">
        <v>333</v>
      </c>
      <c r="BN2" s="401" t="s">
        <v>334</v>
      </c>
      <c r="BO2" s="401" t="s">
        <v>335</v>
      </c>
      <c r="BP2" s="404" t="s">
        <v>336</v>
      </c>
      <c r="BQ2" s="402"/>
      <c r="BR2" s="415"/>
      <c r="BS2" s="413"/>
      <c r="BT2" s="401" t="s">
        <v>391</v>
      </c>
      <c r="BU2" s="401" t="s">
        <v>596</v>
      </c>
      <c r="BV2" s="400" t="s">
        <v>345</v>
      </c>
      <c r="BW2" s="401" t="s">
        <v>335</v>
      </c>
      <c r="BX2" s="401" t="s">
        <v>393</v>
      </c>
      <c r="BY2" s="401" t="s">
        <v>330</v>
      </c>
      <c r="BZ2" s="404" t="s">
        <v>450</v>
      </c>
      <c r="CA2" s="400" t="s">
        <v>333</v>
      </c>
      <c r="CB2" s="401" t="s">
        <v>334</v>
      </c>
      <c r="CC2" s="401" t="s">
        <v>333</v>
      </c>
      <c r="CD2" s="401" t="s">
        <v>336</v>
      </c>
      <c r="CE2" s="401" t="s">
        <v>335</v>
      </c>
      <c r="CF2" s="400" t="s">
        <v>369</v>
      </c>
      <c r="CG2" s="401" t="s">
        <v>369</v>
      </c>
      <c r="CH2" s="404" t="s">
        <v>369</v>
      </c>
      <c r="CI2" s="413"/>
      <c r="CJ2" s="402" t="s">
        <v>322</v>
      </c>
      <c r="CK2" s="401" t="s">
        <v>387</v>
      </c>
    </row>
    <row r="3" spans="1:89" ht="9">
      <c r="A3" s="394" t="s">
        <v>323</v>
      </c>
      <c r="B3" s="398" t="s">
        <v>395</v>
      </c>
      <c r="C3" s="400" t="s">
        <v>345</v>
      </c>
      <c r="D3" s="401" t="s">
        <v>340</v>
      </c>
      <c r="E3" s="401" t="s">
        <v>340</v>
      </c>
      <c r="F3" s="401" t="s">
        <v>350</v>
      </c>
      <c r="G3" s="401" t="s">
        <v>350</v>
      </c>
      <c r="H3" s="401" t="s">
        <v>340</v>
      </c>
      <c r="I3" s="401" t="s">
        <v>396</v>
      </c>
      <c r="J3" s="401" t="s">
        <v>397</v>
      </c>
      <c r="K3" s="402" t="s">
        <v>392</v>
      </c>
      <c r="L3" s="403" t="s">
        <v>598</v>
      </c>
      <c r="M3" s="402" t="s">
        <v>599</v>
      </c>
      <c r="N3" s="401" t="s">
        <v>342</v>
      </c>
      <c r="O3" s="401" t="s">
        <v>340</v>
      </c>
      <c r="P3" s="401" t="s">
        <v>347</v>
      </c>
      <c r="Q3" s="401" t="s">
        <v>340</v>
      </c>
      <c r="R3" s="401" t="s">
        <v>335</v>
      </c>
      <c r="S3" s="401" t="s">
        <v>471</v>
      </c>
      <c r="T3" s="401" t="s">
        <v>423</v>
      </c>
      <c r="U3" s="399" t="s">
        <v>600</v>
      </c>
      <c r="V3" s="401" t="s">
        <v>369</v>
      </c>
      <c r="W3" s="404" t="s">
        <v>369</v>
      </c>
      <c r="X3" s="400"/>
      <c r="Y3" s="401"/>
      <c r="Z3" s="401"/>
      <c r="AA3" s="401"/>
      <c r="AB3" s="404"/>
      <c r="AC3" s="420">
        <v>5000</v>
      </c>
      <c r="AD3" s="404" t="s">
        <v>392</v>
      </c>
      <c r="AE3" s="421">
        <v>2</v>
      </c>
      <c r="AF3" s="422">
        <v>1</v>
      </c>
      <c r="AG3" s="422" t="s">
        <v>369</v>
      </c>
      <c r="AH3" s="422" t="s">
        <v>369</v>
      </c>
      <c r="AI3" s="422" t="s">
        <v>369</v>
      </c>
      <c r="AJ3" s="422" t="s">
        <v>369</v>
      </c>
      <c r="AK3" s="422" t="s">
        <v>369</v>
      </c>
      <c r="AL3" s="422" t="s">
        <v>369</v>
      </c>
      <c r="AM3" s="423" t="s">
        <v>369</v>
      </c>
      <c r="AN3" s="421">
        <v>13</v>
      </c>
      <c r="AO3" s="422">
        <v>14</v>
      </c>
      <c r="AP3" s="422">
        <v>13</v>
      </c>
      <c r="AQ3" s="422">
        <v>16</v>
      </c>
      <c r="AR3" s="423">
        <v>15</v>
      </c>
      <c r="AS3" s="420" t="s">
        <v>745</v>
      </c>
      <c r="AT3" s="424" t="s">
        <v>744</v>
      </c>
      <c r="AU3" s="415" t="s">
        <v>322</v>
      </c>
      <c r="AV3" s="415" t="s">
        <v>369</v>
      </c>
      <c r="AW3" s="415" t="s">
        <v>369</v>
      </c>
      <c r="AX3" s="415" t="s">
        <v>369</v>
      </c>
      <c r="AY3" s="415" t="s">
        <v>369</v>
      </c>
      <c r="AZ3" s="415" t="s">
        <v>369</v>
      </c>
      <c r="BA3" s="413" t="s">
        <v>369</v>
      </c>
      <c r="BB3" s="425"/>
      <c r="BC3" s="415"/>
      <c r="BD3" s="415"/>
      <c r="BE3" s="415"/>
      <c r="BF3" s="413"/>
      <c r="BG3" s="421"/>
      <c r="BH3" s="402" t="s">
        <v>398</v>
      </c>
      <c r="BI3" s="413"/>
      <c r="BJ3" s="414" t="s">
        <v>541</v>
      </c>
      <c r="BK3" s="404" t="s">
        <v>540</v>
      </c>
      <c r="BL3" s="400" t="s">
        <v>332</v>
      </c>
      <c r="BM3" s="401" t="s">
        <v>333</v>
      </c>
      <c r="BN3" s="401" t="s">
        <v>334</v>
      </c>
      <c r="BO3" s="401" t="s">
        <v>335</v>
      </c>
      <c r="BP3" s="404" t="s">
        <v>336</v>
      </c>
      <c r="BQ3" s="402"/>
      <c r="BR3" s="415" t="s">
        <v>427</v>
      </c>
      <c r="BS3" s="413"/>
      <c r="BT3" s="401" t="s">
        <v>395</v>
      </c>
      <c r="BU3" s="401" t="s">
        <v>599</v>
      </c>
      <c r="BV3" s="400" t="s">
        <v>350</v>
      </c>
      <c r="BW3" s="401" t="s">
        <v>340</v>
      </c>
      <c r="BX3" s="401" t="s">
        <v>396</v>
      </c>
      <c r="BY3" s="401" t="s">
        <v>335</v>
      </c>
      <c r="BZ3" s="404" t="s">
        <v>444</v>
      </c>
      <c r="CA3" s="400" t="s">
        <v>333</v>
      </c>
      <c r="CB3" s="401" t="s">
        <v>334</v>
      </c>
      <c r="CC3" s="401" t="s">
        <v>333</v>
      </c>
      <c r="CD3" s="401" t="s">
        <v>336</v>
      </c>
      <c r="CE3" s="401" t="s">
        <v>335</v>
      </c>
      <c r="CF3" s="400" t="s">
        <v>369</v>
      </c>
      <c r="CG3" s="401" t="s">
        <v>369</v>
      </c>
      <c r="CH3" s="404" t="s">
        <v>369</v>
      </c>
      <c r="CI3" s="413" t="s">
        <v>691</v>
      </c>
      <c r="CJ3" s="402" t="s">
        <v>322</v>
      </c>
      <c r="CK3" s="401" t="s">
        <v>387</v>
      </c>
    </row>
    <row r="4" spans="1:89" ht="9">
      <c r="A4" s="394" t="s">
        <v>324</v>
      </c>
      <c r="B4" s="398" t="s">
        <v>399</v>
      </c>
      <c r="C4" s="400" t="s">
        <v>350</v>
      </c>
      <c r="D4" s="401" t="s">
        <v>345</v>
      </c>
      <c r="E4" s="401" t="s">
        <v>345</v>
      </c>
      <c r="F4" s="401" t="s">
        <v>393</v>
      </c>
      <c r="G4" s="401" t="s">
        <v>393</v>
      </c>
      <c r="H4" s="401" t="s">
        <v>344</v>
      </c>
      <c r="I4" s="401" t="s">
        <v>400</v>
      </c>
      <c r="J4" s="401" t="s">
        <v>401</v>
      </c>
      <c r="K4" s="402" t="s">
        <v>392</v>
      </c>
      <c r="L4" s="403" t="s">
        <v>601</v>
      </c>
      <c r="M4" s="402" t="s">
        <v>602</v>
      </c>
      <c r="N4" s="401" t="s">
        <v>345</v>
      </c>
      <c r="O4" s="401" t="s">
        <v>345</v>
      </c>
      <c r="P4" s="401" t="s">
        <v>511</v>
      </c>
      <c r="Q4" s="401" t="s">
        <v>345</v>
      </c>
      <c r="R4" s="401" t="s">
        <v>337</v>
      </c>
      <c r="S4" s="401" t="s">
        <v>368</v>
      </c>
      <c r="T4" s="401" t="s">
        <v>365</v>
      </c>
      <c r="U4" s="399" t="s">
        <v>603</v>
      </c>
      <c r="V4" s="401" t="s">
        <v>340</v>
      </c>
      <c r="W4" s="404" t="s">
        <v>369</v>
      </c>
      <c r="X4" s="400"/>
      <c r="Y4" s="401"/>
      <c r="Z4" s="401"/>
      <c r="AA4" s="401"/>
      <c r="AB4" s="404"/>
      <c r="AC4" s="420" t="s">
        <v>604</v>
      </c>
      <c r="AD4" s="404" t="s">
        <v>392</v>
      </c>
      <c r="AE4" s="421">
        <v>2</v>
      </c>
      <c r="AF4" s="422">
        <v>2</v>
      </c>
      <c r="AG4" s="422" t="s">
        <v>369</v>
      </c>
      <c r="AH4" s="422" t="s">
        <v>369</v>
      </c>
      <c r="AI4" s="422" t="s">
        <v>369</v>
      </c>
      <c r="AJ4" s="422" t="s">
        <v>369</v>
      </c>
      <c r="AK4" s="422" t="s">
        <v>369</v>
      </c>
      <c r="AL4" s="422" t="s">
        <v>369</v>
      </c>
      <c r="AM4" s="423" t="s">
        <v>369</v>
      </c>
      <c r="AN4" s="421">
        <v>13</v>
      </c>
      <c r="AO4" s="422">
        <v>14</v>
      </c>
      <c r="AP4" s="422">
        <v>13</v>
      </c>
      <c r="AQ4" s="422">
        <v>16</v>
      </c>
      <c r="AR4" s="423">
        <v>15</v>
      </c>
      <c r="AS4" s="420" t="s">
        <v>746</v>
      </c>
      <c r="AT4" s="424" t="s">
        <v>744</v>
      </c>
      <c r="AU4" s="415" t="s">
        <v>322</v>
      </c>
      <c r="AV4" s="415" t="s">
        <v>387</v>
      </c>
      <c r="AW4" s="415" t="s">
        <v>369</v>
      </c>
      <c r="AX4" s="415" t="s">
        <v>369</v>
      </c>
      <c r="AY4" s="415" t="s">
        <v>369</v>
      </c>
      <c r="AZ4" s="415" t="s">
        <v>369</v>
      </c>
      <c r="BA4" s="413" t="s">
        <v>369</v>
      </c>
      <c r="BB4" s="425"/>
      <c r="BC4" s="415"/>
      <c r="BD4" s="415"/>
      <c r="BE4" s="415"/>
      <c r="BF4" s="413"/>
      <c r="BG4" s="421"/>
      <c r="BH4" s="402"/>
      <c r="BI4" s="413"/>
      <c r="BJ4" s="414" t="s">
        <v>542</v>
      </c>
      <c r="BK4" s="404" t="s">
        <v>540</v>
      </c>
      <c r="BL4" s="400" t="s">
        <v>330</v>
      </c>
      <c r="BM4" s="401" t="s">
        <v>331</v>
      </c>
      <c r="BN4" s="401" t="s">
        <v>332</v>
      </c>
      <c r="BO4" s="401" t="s">
        <v>333</v>
      </c>
      <c r="BP4" s="404" t="s">
        <v>334</v>
      </c>
      <c r="BQ4" s="402"/>
      <c r="BR4" s="415"/>
      <c r="BS4" s="413"/>
      <c r="BT4" s="401" t="s">
        <v>399</v>
      </c>
      <c r="BU4" s="401" t="s">
        <v>602</v>
      </c>
      <c r="BV4" s="400" t="s">
        <v>393</v>
      </c>
      <c r="BW4" s="401" t="s">
        <v>344</v>
      </c>
      <c r="BX4" s="401" t="s">
        <v>400</v>
      </c>
      <c r="BY4" s="401" t="s">
        <v>340</v>
      </c>
      <c r="BZ4" s="404" t="s">
        <v>430</v>
      </c>
      <c r="CA4" s="400" t="s">
        <v>333</v>
      </c>
      <c r="CB4" s="401" t="s">
        <v>334</v>
      </c>
      <c r="CC4" s="401" t="s">
        <v>333</v>
      </c>
      <c r="CD4" s="401" t="s">
        <v>336</v>
      </c>
      <c r="CE4" s="401" t="s">
        <v>335</v>
      </c>
      <c r="CF4" s="400" t="s">
        <v>369</v>
      </c>
      <c r="CG4" s="401" t="s">
        <v>369</v>
      </c>
      <c r="CH4" s="404" t="s">
        <v>369</v>
      </c>
      <c r="CI4" s="413"/>
      <c r="CJ4" s="402" t="s">
        <v>323</v>
      </c>
      <c r="CK4" s="401" t="s">
        <v>387</v>
      </c>
    </row>
    <row r="5" spans="1:89" ht="9">
      <c r="A5" s="394" t="s">
        <v>325</v>
      </c>
      <c r="B5" s="398" t="s">
        <v>402</v>
      </c>
      <c r="C5" s="400" t="s">
        <v>393</v>
      </c>
      <c r="D5" s="401" t="s">
        <v>350</v>
      </c>
      <c r="E5" s="401" t="s">
        <v>350</v>
      </c>
      <c r="F5" s="401" t="s">
        <v>396</v>
      </c>
      <c r="G5" s="401" t="s">
        <v>396</v>
      </c>
      <c r="H5" s="401" t="s">
        <v>348</v>
      </c>
      <c r="I5" s="401" t="s">
        <v>403</v>
      </c>
      <c r="J5" s="401" t="s">
        <v>404</v>
      </c>
      <c r="K5" s="402" t="s">
        <v>392</v>
      </c>
      <c r="L5" s="403" t="s">
        <v>604</v>
      </c>
      <c r="M5" s="402" t="s">
        <v>605</v>
      </c>
      <c r="N5" s="401" t="s">
        <v>350</v>
      </c>
      <c r="O5" s="401" t="s">
        <v>350</v>
      </c>
      <c r="P5" s="401" t="s">
        <v>606</v>
      </c>
      <c r="Q5" s="401" t="s">
        <v>351</v>
      </c>
      <c r="R5" s="401" t="s">
        <v>340</v>
      </c>
      <c r="S5" s="401" t="s">
        <v>451</v>
      </c>
      <c r="T5" s="401" t="s">
        <v>430</v>
      </c>
      <c r="U5" s="399" t="s">
        <v>607</v>
      </c>
      <c r="V5" s="401" t="s">
        <v>345</v>
      </c>
      <c r="W5" s="404" t="s">
        <v>369</v>
      </c>
      <c r="X5" s="400" t="s">
        <v>331</v>
      </c>
      <c r="Y5" s="401" t="s">
        <v>332</v>
      </c>
      <c r="Z5" s="401" t="s">
        <v>331</v>
      </c>
      <c r="AA5" s="401" t="s">
        <v>334</v>
      </c>
      <c r="AB5" s="404" t="s">
        <v>333</v>
      </c>
      <c r="AC5" s="420" t="s">
        <v>405</v>
      </c>
      <c r="AD5" s="404" t="s">
        <v>392</v>
      </c>
      <c r="AE5" s="421">
        <v>2</v>
      </c>
      <c r="AF5" s="422">
        <v>2</v>
      </c>
      <c r="AG5" s="422">
        <v>1</v>
      </c>
      <c r="AH5" s="422" t="s">
        <v>369</v>
      </c>
      <c r="AI5" s="422" t="s">
        <v>369</v>
      </c>
      <c r="AJ5" s="422" t="s">
        <v>369</v>
      </c>
      <c r="AK5" s="422" t="s">
        <v>369</v>
      </c>
      <c r="AL5" s="422" t="s">
        <v>369</v>
      </c>
      <c r="AM5" s="423" t="s">
        <v>369</v>
      </c>
      <c r="AN5" s="421">
        <v>13</v>
      </c>
      <c r="AO5" s="422">
        <v>14</v>
      </c>
      <c r="AP5" s="422">
        <v>13</v>
      </c>
      <c r="AQ5" s="422">
        <v>16</v>
      </c>
      <c r="AR5" s="423">
        <v>15</v>
      </c>
      <c r="AS5" s="420" t="s">
        <v>747</v>
      </c>
      <c r="AT5" s="424" t="s">
        <v>744</v>
      </c>
      <c r="AU5" s="415" t="s">
        <v>322</v>
      </c>
      <c r="AV5" s="415" t="s">
        <v>322</v>
      </c>
      <c r="AW5" s="415" t="s">
        <v>369</v>
      </c>
      <c r="AX5" s="415" t="s">
        <v>369</v>
      </c>
      <c r="AY5" s="415" t="s">
        <v>369</v>
      </c>
      <c r="AZ5" s="415" t="s">
        <v>369</v>
      </c>
      <c r="BA5" s="413" t="s">
        <v>369</v>
      </c>
      <c r="BB5" s="425" t="s">
        <v>329</v>
      </c>
      <c r="BC5" s="415" t="s">
        <v>330</v>
      </c>
      <c r="BD5" s="415" t="s">
        <v>332</v>
      </c>
      <c r="BE5" s="415" t="s">
        <v>334</v>
      </c>
      <c r="BF5" s="413" t="s">
        <v>333</v>
      </c>
      <c r="BG5" s="421" t="s">
        <v>360</v>
      </c>
      <c r="BH5" s="402"/>
      <c r="BI5" s="413"/>
      <c r="BJ5" s="414" t="s">
        <v>543</v>
      </c>
      <c r="BK5" s="404" t="s">
        <v>540</v>
      </c>
      <c r="BL5" s="400" t="s">
        <v>330</v>
      </c>
      <c r="BM5" s="401" t="s">
        <v>331</v>
      </c>
      <c r="BN5" s="401" t="s">
        <v>332</v>
      </c>
      <c r="BO5" s="401" t="s">
        <v>333</v>
      </c>
      <c r="BP5" s="404" t="s">
        <v>334</v>
      </c>
      <c r="BQ5" s="402"/>
      <c r="BR5" s="415"/>
      <c r="BS5" s="413"/>
      <c r="BT5" s="401" t="s">
        <v>402</v>
      </c>
      <c r="BU5" s="401" t="s">
        <v>605</v>
      </c>
      <c r="BV5" s="400" t="s">
        <v>396</v>
      </c>
      <c r="BW5" s="401" t="s">
        <v>348</v>
      </c>
      <c r="BX5" s="401" t="s">
        <v>403</v>
      </c>
      <c r="BY5" s="401" t="s">
        <v>345</v>
      </c>
      <c r="BZ5" s="404" t="s">
        <v>692</v>
      </c>
      <c r="CA5" s="400" t="s">
        <v>331</v>
      </c>
      <c r="CB5" s="401" t="s">
        <v>332</v>
      </c>
      <c r="CC5" s="401" t="s">
        <v>331</v>
      </c>
      <c r="CD5" s="401" t="s">
        <v>334</v>
      </c>
      <c r="CE5" s="401" t="s">
        <v>333</v>
      </c>
      <c r="CF5" s="400" t="s">
        <v>387</v>
      </c>
      <c r="CG5" s="401" t="s">
        <v>369</v>
      </c>
      <c r="CH5" s="404" t="s">
        <v>369</v>
      </c>
      <c r="CI5" s="413"/>
      <c r="CJ5" s="402" t="s">
        <v>323</v>
      </c>
      <c r="CK5" s="401" t="s">
        <v>387</v>
      </c>
    </row>
    <row r="6" spans="1:89" ht="9">
      <c r="A6" s="394" t="s">
        <v>326</v>
      </c>
      <c r="B6" s="398" t="s">
        <v>405</v>
      </c>
      <c r="C6" s="400" t="s">
        <v>396</v>
      </c>
      <c r="D6" s="401" t="s">
        <v>393</v>
      </c>
      <c r="E6" s="401" t="s">
        <v>406</v>
      </c>
      <c r="F6" s="401" t="s">
        <v>400</v>
      </c>
      <c r="G6" s="401" t="s">
        <v>407</v>
      </c>
      <c r="H6" s="401" t="s">
        <v>352</v>
      </c>
      <c r="I6" s="401" t="s">
        <v>408</v>
      </c>
      <c r="J6" s="401" t="s">
        <v>409</v>
      </c>
      <c r="K6" s="402" t="s">
        <v>392</v>
      </c>
      <c r="L6" s="403" t="s">
        <v>405</v>
      </c>
      <c r="M6" s="402" t="s">
        <v>608</v>
      </c>
      <c r="N6" s="401" t="s">
        <v>393</v>
      </c>
      <c r="O6" s="401" t="s">
        <v>406</v>
      </c>
      <c r="P6" s="401" t="s">
        <v>400</v>
      </c>
      <c r="Q6" s="401" t="s">
        <v>609</v>
      </c>
      <c r="R6" s="401" t="s">
        <v>343</v>
      </c>
      <c r="S6" s="401" t="s">
        <v>449</v>
      </c>
      <c r="T6" s="401" t="s">
        <v>439</v>
      </c>
      <c r="U6" s="399" t="s">
        <v>610</v>
      </c>
      <c r="V6" s="401" t="s">
        <v>350</v>
      </c>
      <c r="W6" s="404" t="s">
        <v>369</v>
      </c>
      <c r="X6" s="400"/>
      <c r="Y6" s="401"/>
      <c r="Z6" s="401" t="s">
        <v>527</v>
      </c>
      <c r="AA6" s="401"/>
      <c r="AB6" s="404"/>
      <c r="AC6" s="420" t="s">
        <v>411</v>
      </c>
      <c r="AD6" s="404" t="s">
        <v>392</v>
      </c>
      <c r="AE6" s="421">
        <v>2</v>
      </c>
      <c r="AF6" s="422">
        <v>2</v>
      </c>
      <c r="AG6" s="422">
        <v>2</v>
      </c>
      <c r="AH6" s="422" t="s">
        <v>369</v>
      </c>
      <c r="AI6" s="422" t="s">
        <v>369</v>
      </c>
      <c r="AJ6" s="422" t="s">
        <v>369</v>
      </c>
      <c r="AK6" s="422" t="s">
        <v>369</v>
      </c>
      <c r="AL6" s="422" t="s">
        <v>369</v>
      </c>
      <c r="AM6" s="423" t="s">
        <v>369</v>
      </c>
      <c r="AN6" s="421">
        <v>11</v>
      </c>
      <c r="AO6" s="422">
        <v>12</v>
      </c>
      <c r="AP6" s="422">
        <v>11</v>
      </c>
      <c r="AQ6" s="422">
        <v>14</v>
      </c>
      <c r="AR6" s="423">
        <v>12</v>
      </c>
      <c r="AS6" s="420" t="s">
        <v>748</v>
      </c>
      <c r="AT6" s="424" t="s">
        <v>744</v>
      </c>
      <c r="AU6" s="415" t="s">
        <v>322</v>
      </c>
      <c r="AV6" s="415" t="s">
        <v>322</v>
      </c>
      <c r="AW6" s="415" t="s">
        <v>387</v>
      </c>
      <c r="AX6" s="415" t="s">
        <v>369</v>
      </c>
      <c r="AY6" s="415" t="s">
        <v>369</v>
      </c>
      <c r="AZ6" s="415" t="s">
        <v>369</v>
      </c>
      <c r="BA6" s="413" t="s">
        <v>369</v>
      </c>
      <c r="BB6" s="425"/>
      <c r="BC6" s="415"/>
      <c r="BD6" s="415"/>
      <c r="BE6" s="415"/>
      <c r="BF6" s="413"/>
      <c r="BG6" s="421"/>
      <c r="BH6" s="402" t="s">
        <v>410</v>
      </c>
      <c r="BI6" s="413" t="s">
        <v>611</v>
      </c>
      <c r="BJ6" s="414" t="s">
        <v>544</v>
      </c>
      <c r="BK6" s="404" t="s">
        <v>540</v>
      </c>
      <c r="BL6" s="400" t="s">
        <v>330</v>
      </c>
      <c r="BM6" s="401" t="s">
        <v>331</v>
      </c>
      <c r="BN6" s="401" t="s">
        <v>332</v>
      </c>
      <c r="BO6" s="401" t="s">
        <v>333</v>
      </c>
      <c r="BP6" s="404" t="s">
        <v>334</v>
      </c>
      <c r="BQ6" s="402"/>
      <c r="BR6" s="415" t="s">
        <v>437</v>
      </c>
      <c r="BS6" s="413" t="s">
        <v>545</v>
      </c>
      <c r="BT6" s="401" t="s">
        <v>405</v>
      </c>
      <c r="BU6" s="401" t="s">
        <v>608</v>
      </c>
      <c r="BV6" s="400" t="s">
        <v>407</v>
      </c>
      <c r="BW6" s="401" t="s">
        <v>352</v>
      </c>
      <c r="BX6" s="401" t="s">
        <v>408</v>
      </c>
      <c r="BY6" s="401" t="s">
        <v>350</v>
      </c>
      <c r="BZ6" s="404" t="s">
        <v>366</v>
      </c>
      <c r="CA6" s="400" t="s">
        <v>331</v>
      </c>
      <c r="CB6" s="401" t="s">
        <v>332</v>
      </c>
      <c r="CC6" s="401" t="s">
        <v>331</v>
      </c>
      <c r="CD6" s="401" t="s">
        <v>334</v>
      </c>
      <c r="CE6" s="401" t="s">
        <v>333</v>
      </c>
      <c r="CF6" s="400" t="s">
        <v>387</v>
      </c>
      <c r="CG6" s="401" t="s">
        <v>369</v>
      </c>
      <c r="CH6" s="404" t="s">
        <v>369</v>
      </c>
      <c r="CI6" s="413"/>
      <c r="CJ6" s="402" t="s">
        <v>324</v>
      </c>
      <c r="CK6" s="401" t="s">
        <v>322</v>
      </c>
    </row>
    <row r="7" spans="1:89" ht="9">
      <c r="A7" s="394" t="s">
        <v>327</v>
      </c>
      <c r="B7" s="398" t="s">
        <v>411</v>
      </c>
      <c r="C7" s="400" t="s">
        <v>400</v>
      </c>
      <c r="D7" s="401" t="s">
        <v>396</v>
      </c>
      <c r="E7" s="401" t="s">
        <v>362</v>
      </c>
      <c r="F7" s="401" t="s">
        <v>403</v>
      </c>
      <c r="G7" s="401" t="s">
        <v>412</v>
      </c>
      <c r="H7" s="401" t="s">
        <v>393</v>
      </c>
      <c r="I7" s="401" t="s">
        <v>413</v>
      </c>
      <c r="J7" s="401" t="s">
        <v>414</v>
      </c>
      <c r="K7" s="402" t="s">
        <v>392</v>
      </c>
      <c r="L7" s="403" t="s">
        <v>612</v>
      </c>
      <c r="M7" s="402" t="s">
        <v>613</v>
      </c>
      <c r="N7" s="401" t="s">
        <v>396</v>
      </c>
      <c r="O7" s="401" t="s">
        <v>362</v>
      </c>
      <c r="P7" s="401" t="s">
        <v>614</v>
      </c>
      <c r="Q7" s="401" t="s">
        <v>615</v>
      </c>
      <c r="R7" s="401" t="s">
        <v>345</v>
      </c>
      <c r="S7" s="401" t="s">
        <v>467</v>
      </c>
      <c r="T7" s="401" t="s">
        <v>445</v>
      </c>
      <c r="U7" s="399" t="s">
        <v>616</v>
      </c>
      <c r="V7" s="401" t="s">
        <v>393</v>
      </c>
      <c r="W7" s="404" t="s">
        <v>369</v>
      </c>
      <c r="X7" s="400"/>
      <c r="Y7" s="401"/>
      <c r="Z7" s="401"/>
      <c r="AA7" s="401"/>
      <c r="AB7" s="404"/>
      <c r="AC7" s="420" t="s">
        <v>415</v>
      </c>
      <c r="AD7" s="404" t="s">
        <v>392</v>
      </c>
      <c r="AE7" s="421">
        <v>3</v>
      </c>
      <c r="AF7" s="422">
        <v>2</v>
      </c>
      <c r="AG7" s="422">
        <v>2</v>
      </c>
      <c r="AH7" s="422">
        <v>1</v>
      </c>
      <c r="AI7" s="422" t="s">
        <v>369</v>
      </c>
      <c r="AJ7" s="422" t="s">
        <v>369</v>
      </c>
      <c r="AK7" s="422" t="s">
        <v>369</v>
      </c>
      <c r="AL7" s="422" t="s">
        <v>369</v>
      </c>
      <c r="AM7" s="423" t="s">
        <v>369</v>
      </c>
      <c r="AN7" s="421">
        <v>11</v>
      </c>
      <c r="AO7" s="422">
        <v>12</v>
      </c>
      <c r="AP7" s="422">
        <v>11</v>
      </c>
      <c r="AQ7" s="422">
        <v>14</v>
      </c>
      <c r="AR7" s="423">
        <v>12</v>
      </c>
      <c r="AS7" s="420" t="s">
        <v>749</v>
      </c>
      <c r="AT7" s="424" t="s">
        <v>744</v>
      </c>
      <c r="AU7" s="415" t="s">
        <v>323</v>
      </c>
      <c r="AV7" s="415" t="s">
        <v>322</v>
      </c>
      <c r="AW7" s="415" t="s">
        <v>322</v>
      </c>
      <c r="AX7" s="415" t="s">
        <v>369</v>
      </c>
      <c r="AY7" s="415" t="s">
        <v>369</v>
      </c>
      <c r="AZ7" s="415" t="s">
        <v>369</v>
      </c>
      <c r="BA7" s="413" t="s">
        <v>369</v>
      </c>
      <c r="BB7" s="425"/>
      <c r="BC7" s="415"/>
      <c r="BD7" s="415"/>
      <c r="BE7" s="415"/>
      <c r="BF7" s="413"/>
      <c r="BG7" s="421"/>
      <c r="BH7" s="402"/>
      <c r="BI7" s="413"/>
      <c r="BJ7" s="414" t="s">
        <v>546</v>
      </c>
      <c r="BK7" s="404" t="s">
        <v>540</v>
      </c>
      <c r="BL7" s="400" t="s">
        <v>328</v>
      </c>
      <c r="BM7" s="401" t="s">
        <v>329</v>
      </c>
      <c r="BN7" s="401" t="s">
        <v>330</v>
      </c>
      <c r="BO7" s="401" t="s">
        <v>331</v>
      </c>
      <c r="BP7" s="404" t="s">
        <v>332</v>
      </c>
      <c r="BQ7" s="402"/>
      <c r="BR7" s="415"/>
      <c r="BS7" s="413"/>
      <c r="BT7" s="401" t="s">
        <v>411</v>
      </c>
      <c r="BU7" s="401" t="s">
        <v>613</v>
      </c>
      <c r="BV7" s="400" t="s">
        <v>412</v>
      </c>
      <c r="BW7" s="401" t="s">
        <v>393</v>
      </c>
      <c r="BX7" s="401" t="s">
        <v>413</v>
      </c>
      <c r="BY7" s="401" t="s">
        <v>393</v>
      </c>
      <c r="BZ7" s="404" t="s">
        <v>454</v>
      </c>
      <c r="CA7" s="400" t="s">
        <v>331</v>
      </c>
      <c r="CB7" s="401" t="s">
        <v>332</v>
      </c>
      <c r="CC7" s="401" t="s">
        <v>331</v>
      </c>
      <c r="CD7" s="401" t="s">
        <v>334</v>
      </c>
      <c r="CE7" s="401" t="s">
        <v>333</v>
      </c>
      <c r="CF7" s="400" t="s">
        <v>322</v>
      </c>
      <c r="CG7" s="401" t="s">
        <v>369</v>
      </c>
      <c r="CH7" s="404" t="s">
        <v>369</v>
      </c>
      <c r="CI7" s="413"/>
      <c r="CJ7" s="402" t="s">
        <v>324</v>
      </c>
      <c r="CK7" s="401" t="s">
        <v>322</v>
      </c>
    </row>
    <row r="8" spans="1:89" ht="9">
      <c r="A8" s="394" t="s">
        <v>328</v>
      </c>
      <c r="B8" s="398" t="s">
        <v>415</v>
      </c>
      <c r="C8" s="400" t="s">
        <v>403</v>
      </c>
      <c r="D8" s="401" t="s">
        <v>400</v>
      </c>
      <c r="E8" s="401" t="s">
        <v>417</v>
      </c>
      <c r="F8" s="401" t="s">
        <v>418</v>
      </c>
      <c r="G8" s="401" t="s">
        <v>419</v>
      </c>
      <c r="H8" s="401" t="s">
        <v>362</v>
      </c>
      <c r="I8" s="401" t="s">
        <v>420</v>
      </c>
      <c r="J8" s="401" t="s">
        <v>421</v>
      </c>
      <c r="K8" s="402" t="s">
        <v>392</v>
      </c>
      <c r="L8" s="403" t="s">
        <v>617</v>
      </c>
      <c r="M8" s="402" t="s">
        <v>618</v>
      </c>
      <c r="N8" s="401" t="s">
        <v>400</v>
      </c>
      <c r="O8" s="401" t="s">
        <v>417</v>
      </c>
      <c r="P8" s="401" t="s">
        <v>619</v>
      </c>
      <c r="Q8" s="401" t="s">
        <v>620</v>
      </c>
      <c r="R8" s="401" t="s">
        <v>347</v>
      </c>
      <c r="S8" s="401" t="s">
        <v>389</v>
      </c>
      <c r="T8" s="401" t="s">
        <v>449</v>
      </c>
      <c r="U8" s="399" t="s">
        <v>621</v>
      </c>
      <c r="V8" s="401" t="s">
        <v>396</v>
      </c>
      <c r="W8" s="404" t="s">
        <v>340</v>
      </c>
      <c r="X8" s="400"/>
      <c r="Y8" s="401"/>
      <c r="Z8" s="401"/>
      <c r="AA8" s="401"/>
      <c r="AB8" s="404"/>
      <c r="AC8" s="420" t="s">
        <v>712</v>
      </c>
      <c r="AD8" s="404" t="s">
        <v>392</v>
      </c>
      <c r="AE8" s="421">
        <v>3</v>
      </c>
      <c r="AF8" s="422">
        <v>3</v>
      </c>
      <c r="AG8" s="422">
        <v>2</v>
      </c>
      <c r="AH8" s="422">
        <v>2</v>
      </c>
      <c r="AI8" s="422" t="s">
        <v>369</v>
      </c>
      <c r="AJ8" s="422" t="s">
        <v>369</v>
      </c>
      <c r="AK8" s="422" t="s">
        <v>369</v>
      </c>
      <c r="AL8" s="422" t="s">
        <v>369</v>
      </c>
      <c r="AM8" s="423" t="s">
        <v>369</v>
      </c>
      <c r="AN8" s="421">
        <v>11</v>
      </c>
      <c r="AO8" s="422">
        <v>12</v>
      </c>
      <c r="AP8" s="422">
        <v>11</v>
      </c>
      <c r="AQ8" s="422">
        <v>14</v>
      </c>
      <c r="AR8" s="423">
        <v>12</v>
      </c>
      <c r="AS8" s="420" t="s">
        <v>750</v>
      </c>
      <c r="AT8" s="424" t="s">
        <v>744</v>
      </c>
      <c r="AU8" s="415" t="s">
        <v>323</v>
      </c>
      <c r="AV8" s="415" t="s">
        <v>323</v>
      </c>
      <c r="AW8" s="415" t="s">
        <v>322</v>
      </c>
      <c r="AX8" s="415" t="s">
        <v>387</v>
      </c>
      <c r="AY8" s="415" t="s">
        <v>369</v>
      </c>
      <c r="AZ8" s="415" t="s">
        <v>369</v>
      </c>
      <c r="BA8" s="413" t="s">
        <v>369</v>
      </c>
      <c r="BB8" s="425"/>
      <c r="BC8" s="415"/>
      <c r="BD8" s="415"/>
      <c r="BE8" s="415"/>
      <c r="BF8" s="413"/>
      <c r="BG8" s="421"/>
      <c r="BH8" s="402"/>
      <c r="BI8" s="413"/>
      <c r="BJ8" s="414" t="s">
        <v>547</v>
      </c>
      <c r="BK8" s="404" t="s">
        <v>540</v>
      </c>
      <c r="BL8" s="400" t="s">
        <v>328</v>
      </c>
      <c r="BM8" s="401" t="s">
        <v>329</v>
      </c>
      <c r="BN8" s="401" t="s">
        <v>330</v>
      </c>
      <c r="BO8" s="401" t="s">
        <v>331</v>
      </c>
      <c r="BP8" s="404" t="s">
        <v>332</v>
      </c>
      <c r="BQ8" s="402"/>
      <c r="BR8" s="415"/>
      <c r="BS8" s="413"/>
      <c r="BT8" s="401" t="s">
        <v>415</v>
      </c>
      <c r="BU8" s="401" t="s">
        <v>618</v>
      </c>
      <c r="BV8" s="400" t="s">
        <v>419</v>
      </c>
      <c r="BW8" s="401" t="s">
        <v>362</v>
      </c>
      <c r="BX8" s="401" t="s">
        <v>420</v>
      </c>
      <c r="BY8" s="401" t="s">
        <v>396</v>
      </c>
      <c r="BZ8" s="404" t="s">
        <v>435</v>
      </c>
      <c r="CA8" s="400" t="s">
        <v>331</v>
      </c>
      <c r="CB8" s="401" t="s">
        <v>332</v>
      </c>
      <c r="CC8" s="401" t="s">
        <v>331</v>
      </c>
      <c r="CD8" s="401" t="s">
        <v>334</v>
      </c>
      <c r="CE8" s="401" t="s">
        <v>333</v>
      </c>
      <c r="CF8" s="400" t="s">
        <v>322</v>
      </c>
      <c r="CG8" s="401" t="s">
        <v>369</v>
      </c>
      <c r="CH8" s="404" t="s">
        <v>369</v>
      </c>
      <c r="CI8" s="413"/>
      <c r="CJ8" s="402" t="s">
        <v>325</v>
      </c>
      <c r="CK8" s="401" t="s">
        <v>322</v>
      </c>
    </row>
    <row r="9" spans="1:89" ht="9">
      <c r="A9" s="395" t="s">
        <v>329</v>
      </c>
      <c r="B9" s="426" t="s">
        <v>422</v>
      </c>
      <c r="C9" s="428" t="s">
        <v>408</v>
      </c>
      <c r="D9" s="429" t="s">
        <v>403</v>
      </c>
      <c r="E9" s="429" t="s">
        <v>363</v>
      </c>
      <c r="F9" s="429" t="s">
        <v>423</v>
      </c>
      <c r="G9" s="429" t="s">
        <v>418</v>
      </c>
      <c r="H9" s="429" t="s">
        <v>424</v>
      </c>
      <c r="I9" s="429" t="s">
        <v>425</v>
      </c>
      <c r="J9" s="429" t="s">
        <v>426</v>
      </c>
      <c r="K9" s="430" t="s">
        <v>392</v>
      </c>
      <c r="L9" s="431" t="s">
        <v>622</v>
      </c>
      <c r="M9" s="430" t="s">
        <v>623</v>
      </c>
      <c r="N9" s="429" t="s">
        <v>403</v>
      </c>
      <c r="O9" s="429" t="s">
        <v>363</v>
      </c>
      <c r="P9" s="429" t="s">
        <v>624</v>
      </c>
      <c r="Q9" s="429" t="s">
        <v>364</v>
      </c>
      <c r="R9" s="429" t="s">
        <v>350</v>
      </c>
      <c r="S9" s="429" t="s">
        <v>394</v>
      </c>
      <c r="T9" s="429" t="s">
        <v>401</v>
      </c>
      <c r="U9" s="427" t="s">
        <v>625</v>
      </c>
      <c r="V9" s="429" t="s">
        <v>400</v>
      </c>
      <c r="W9" s="432" t="s">
        <v>347</v>
      </c>
      <c r="X9" s="428" t="s">
        <v>329</v>
      </c>
      <c r="Y9" s="429" t="s">
        <v>330</v>
      </c>
      <c r="Z9" s="429" t="s">
        <v>329</v>
      </c>
      <c r="AA9" s="429" t="s">
        <v>332</v>
      </c>
      <c r="AB9" s="432" t="s">
        <v>331</v>
      </c>
      <c r="AC9" s="433" t="s">
        <v>713</v>
      </c>
      <c r="AD9" s="432" t="s">
        <v>392</v>
      </c>
      <c r="AE9" s="434">
        <v>3</v>
      </c>
      <c r="AF9" s="435">
        <v>3</v>
      </c>
      <c r="AG9" s="435">
        <v>3</v>
      </c>
      <c r="AH9" s="435">
        <v>2</v>
      </c>
      <c r="AI9" s="435">
        <v>1</v>
      </c>
      <c r="AJ9" s="435" t="s">
        <v>369</v>
      </c>
      <c r="AK9" s="435" t="s">
        <v>369</v>
      </c>
      <c r="AL9" s="435" t="s">
        <v>369</v>
      </c>
      <c r="AM9" s="436" t="s">
        <v>369</v>
      </c>
      <c r="AN9" s="434">
        <v>11</v>
      </c>
      <c r="AO9" s="435">
        <v>12</v>
      </c>
      <c r="AP9" s="435">
        <v>11</v>
      </c>
      <c r="AQ9" s="435">
        <v>14</v>
      </c>
      <c r="AR9" s="436">
        <v>12</v>
      </c>
      <c r="AS9" s="420" t="s">
        <v>751</v>
      </c>
      <c r="AT9" s="424" t="s">
        <v>744</v>
      </c>
      <c r="AU9" s="415" t="s">
        <v>323</v>
      </c>
      <c r="AV9" s="415" t="s">
        <v>323</v>
      </c>
      <c r="AW9" s="415" t="s">
        <v>323</v>
      </c>
      <c r="AX9" s="415" t="s">
        <v>322</v>
      </c>
      <c r="AY9" s="415" t="s">
        <v>369</v>
      </c>
      <c r="AZ9" s="415" t="s">
        <v>369</v>
      </c>
      <c r="BA9" s="413" t="s">
        <v>369</v>
      </c>
      <c r="BB9" s="425" t="s">
        <v>327</v>
      </c>
      <c r="BC9" s="415" t="s">
        <v>328</v>
      </c>
      <c r="BD9" s="415" t="s">
        <v>330</v>
      </c>
      <c r="BE9" s="415" t="s">
        <v>332</v>
      </c>
      <c r="BF9" s="413" t="s">
        <v>331</v>
      </c>
      <c r="BG9" s="434" t="s">
        <v>360</v>
      </c>
      <c r="BH9" s="430" t="s">
        <v>427</v>
      </c>
      <c r="BI9" s="437"/>
      <c r="BJ9" s="438" t="s">
        <v>548</v>
      </c>
      <c r="BK9" s="432" t="s">
        <v>540</v>
      </c>
      <c r="BL9" s="428" t="s">
        <v>328</v>
      </c>
      <c r="BM9" s="429" t="s">
        <v>329</v>
      </c>
      <c r="BN9" s="429" t="s">
        <v>330</v>
      </c>
      <c r="BO9" s="429" t="s">
        <v>331</v>
      </c>
      <c r="BP9" s="432" t="s">
        <v>332</v>
      </c>
      <c r="BQ9" s="430" t="s">
        <v>549</v>
      </c>
      <c r="BR9" s="439" t="s">
        <v>457</v>
      </c>
      <c r="BS9" s="437"/>
      <c r="BT9" s="401" t="s">
        <v>422</v>
      </c>
      <c r="BU9" s="401" t="s">
        <v>623</v>
      </c>
      <c r="BV9" s="400" t="s">
        <v>418</v>
      </c>
      <c r="BW9" s="401" t="s">
        <v>424</v>
      </c>
      <c r="BX9" s="401" t="s">
        <v>425</v>
      </c>
      <c r="BY9" s="401" t="s">
        <v>400</v>
      </c>
      <c r="BZ9" s="404" t="s">
        <v>439</v>
      </c>
      <c r="CA9" s="400" t="s">
        <v>329</v>
      </c>
      <c r="CB9" s="401" t="s">
        <v>330</v>
      </c>
      <c r="CC9" s="401" t="s">
        <v>329</v>
      </c>
      <c r="CD9" s="401" t="s">
        <v>332</v>
      </c>
      <c r="CE9" s="401" t="s">
        <v>331</v>
      </c>
      <c r="CF9" s="400" t="s">
        <v>322</v>
      </c>
      <c r="CG9" s="401" t="s">
        <v>387</v>
      </c>
      <c r="CH9" s="404" t="s">
        <v>369</v>
      </c>
      <c r="CI9" s="413" t="s">
        <v>693</v>
      </c>
      <c r="CJ9" s="402" t="s">
        <v>325</v>
      </c>
      <c r="CK9" s="401" t="s">
        <v>322</v>
      </c>
    </row>
    <row r="10" spans="1:89" s="439" customFormat="1" ht="9">
      <c r="A10" s="394" t="s">
        <v>330</v>
      </c>
      <c r="B10" s="398" t="s">
        <v>428</v>
      </c>
      <c r="C10" s="400" t="s">
        <v>413</v>
      </c>
      <c r="D10" s="401" t="s">
        <v>408</v>
      </c>
      <c r="E10" s="401" t="s">
        <v>403</v>
      </c>
      <c r="F10" s="401" t="s">
        <v>365</v>
      </c>
      <c r="G10" s="401" t="s">
        <v>413</v>
      </c>
      <c r="H10" s="401" t="s">
        <v>407</v>
      </c>
      <c r="I10" s="401" t="s">
        <v>430</v>
      </c>
      <c r="J10" s="401" t="s">
        <v>431</v>
      </c>
      <c r="K10" s="402" t="s">
        <v>429</v>
      </c>
      <c r="L10" s="403" t="s">
        <v>550</v>
      </c>
      <c r="M10" s="402" t="s">
        <v>429</v>
      </c>
      <c r="N10" s="401" t="s">
        <v>408</v>
      </c>
      <c r="O10" s="401" t="s">
        <v>403</v>
      </c>
      <c r="P10" s="401" t="s">
        <v>444</v>
      </c>
      <c r="Q10" s="401" t="s">
        <v>624</v>
      </c>
      <c r="R10" s="401" t="s">
        <v>350</v>
      </c>
      <c r="S10" s="401" t="s">
        <v>397</v>
      </c>
      <c r="T10" s="401" t="s">
        <v>426</v>
      </c>
      <c r="U10" s="399" t="s">
        <v>626</v>
      </c>
      <c r="V10" s="401" t="s">
        <v>403</v>
      </c>
      <c r="W10" s="404" t="s">
        <v>406</v>
      </c>
      <c r="X10" s="400"/>
      <c r="Y10" s="401"/>
      <c r="Z10" s="401"/>
      <c r="AA10" s="401"/>
      <c r="AB10" s="404"/>
      <c r="AC10" s="420" t="s">
        <v>714</v>
      </c>
      <c r="AD10" s="404" t="s">
        <v>530</v>
      </c>
      <c r="AE10" s="421">
        <v>3</v>
      </c>
      <c r="AF10" s="422">
        <v>3</v>
      </c>
      <c r="AG10" s="422">
        <v>3</v>
      </c>
      <c r="AH10" s="422">
        <v>3</v>
      </c>
      <c r="AI10" s="422">
        <v>2</v>
      </c>
      <c r="AJ10" s="422" t="s">
        <v>369</v>
      </c>
      <c r="AK10" s="422" t="s">
        <v>369</v>
      </c>
      <c r="AL10" s="422" t="s">
        <v>369</v>
      </c>
      <c r="AM10" s="423" t="s">
        <v>369</v>
      </c>
      <c r="AN10" s="421">
        <v>11</v>
      </c>
      <c r="AO10" s="422">
        <v>12</v>
      </c>
      <c r="AP10" s="422">
        <v>11</v>
      </c>
      <c r="AQ10" s="422">
        <v>14</v>
      </c>
      <c r="AR10" s="423">
        <v>12</v>
      </c>
      <c r="AS10" s="420" t="s">
        <v>713</v>
      </c>
      <c r="AT10" s="424" t="s">
        <v>361</v>
      </c>
      <c r="AU10" s="415" t="s">
        <v>324</v>
      </c>
      <c r="AV10" s="415" t="s">
        <v>324</v>
      </c>
      <c r="AW10" s="415" t="s">
        <v>323</v>
      </c>
      <c r="AX10" s="415" t="s">
        <v>322</v>
      </c>
      <c r="AY10" s="415" t="s">
        <v>387</v>
      </c>
      <c r="AZ10" s="415" t="s">
        <v>369</v>
      </c>
      <c r="BA10" s="413" t="s">
        <v>369</v>
      </c>
      <c r="BB10" s="425"/>
      <c r="BC10" s="415"/>
      <c r="BD10" s="415"/>
      <c r="BE10" s="415"/>
      <c r="BF10" s="413"/>
      <c r="BG10" s="421"/>
      <c r="BH10" s="402"/>
      <c r="BI10" s="413"/>
      <c r="BJ10" s="414" t="s">
        <v>550</v>
      </c>
      <c r="BK10" s="404" t="s">
        <v>551</v>
      </c>
      <c r="BL10" s="400" t="s">
        <v>326</v>
      </c>
      <c r="BM10" s="401" t="s">
        <v>327</v>
      </c>
      <c r="BN10" s="401" t="s">
        <v>328</v>
      </c>
      <c r="BO10" s="401" t="s">
        <v>329</v>
      </c>
      <c r="BP10" s="404" t="s">
        <v>330</v>
      </c>
      <c r="BQ10" s="402"/>
      <c r="BR10" s="415"/>
      <c r="BS10" s="413"/>
      <c r="BT10" s="401" t="s">
        <v>428</v>
      </c>
      <c r="BU10" s="401" t="s">
        <v>551</v>
      </c>
      <c r="BV10" s="400" t="s">
        <v>413</v>
      </c>
      <c r="BW10" s="401" t="s">
        <v>407</v>
      </c>
      <c r="BX10" s="401" t="s">
        <v>430</v>
      </c>
      <c r="BY10" s="401" t="s">
        <v>403</v>
      </c>
      <c r="BZ10" s="404" t="s">
        <v>459</v>
      </c>
      <c r="CA10" s="400" t="s">
        <v>329</v>
      </c>
      <c r="CB10" s="401" t="s">
        <v>330</v>
      </c>
      <c r="CC10" s="401" t="s">
        <v>329</v>
      </c>
      <c r="CD10" s="401" t="s">
        <v>332</v>
      </c>
      <c r="CE10" s="401" t="s">
        <v>331</v>
      </c>
      <c r="CF10" s="400" t="s">
        <v>322</v>
      </c>
      <c r="CG10" s="401" t="s">
        <v>387</v>
      </c>
      <c r="CH10" s="404" t="s">
        <v>369</v>
      </c>
      <c r="CI10" s="413"/>
      <c r="CJ10" s="402" t="s">
        <v>326</v>
      </c>
      <c r="CK10" s="401" t="s">
        <v>322</v>
      </c>
    </row>
    <row r="11" spans="1:89" ht="9">
      <c r="A11" s="394" t="s">
        <v>331</v>
      </c>
      <c r="B11" s="398" t="s">
        <v>432</v>
      </c>
      <c r="C11" s="400" t="s">
        <v>420</v>
      </c>
      <c r="D11" s="401" t="s">
        <v>413</v>
      </c>
      <c r="E11" s="401" t="s">
        <v>408</v>
      </c>
      <c r="F11" s="401" t="s">
        <v>430</v>
      </c>
      <c r="G11" s="401" t="s">
        <v>433</v>
      </c>
      <c r="H11" s="401" t="s">
        <v>434</v>
      </c>
      <c r="I11" s="401" t="s">
        <v>435</v>
      </c>
      <c r="J11" s="401" t="s">
        <v>436</v>
      </c>
      <c r="K11" s="402" t="s">
        <v>429</v>
      </c>
      <c r="L11" s="403" t="s">
        <v>432</v>
      </c>
      <c r="M11" s="402" t="s">
        <v>429</v>
      </c>
      <c r="N11" s="401" t="s">
        <v>413</v>
      </c>
      <c r="O11" s="401" t="s">
        <v>408</v>
      </c>
      <c r="P11" s="401" t="s">
        <v>439</v>
      </c>
      <c r="Q11" s="401" t="s">
        <v>430</v>
      </c>
      <c r="R11" s="401" t="s">
        <v>393</v>
      </c>
      <c r="S11" s="401" t="s">
        <v>401</v>
      </c>
      <c r="T11" s="401" t="s">
        <v>452</v>
      </c>
      <c r="U11" s="399" t="s">
        <v>627</v>
      </c>
      <c r="V11" s="401" t="s">
        <v>418</v>
      </c>
      <c r="W11" s="404" t="s">
        <v>424</v>
      </c>
      <c r="X11" s="400"/>
      <c r="Y11" s="401"/>
      <c r="Z11" s="401"/>
      <c r="AA11" s="401"/>
      <c r="AB11" s="404"/>
      <c r="AC11" s="420" t="s">
        <v>553</v>
      </c>
      <c r="AD11" s="404" t="s">
        <v>530</v>
      </c>
      <c r="AE11" s="421">
        <v>4</v>
      </c>
      <c r="AF11" s="422">
        <v>3</v>
      </c>
      <c r="AG11" s="422">
        <v>3</v>
      </c>
      <c r="AH11" s="422">
        <v>3</v>
      </c>
      <c r="AI11" s="422">
        <v>2</v>
      </c>
      <c r="AJ11" s="422" t="s">
        <v>369</v>
      </c>
      <c r="AK11" s="422" t="s">
        <v>369</v>
      </c>
      <c r="AL11" s="422" t="s">
        <v>369</v>
      </c>
      <c r="AM11" s="423" t="s">
        <v>369</v>
      </c>
      <c r="AN11" s="421">
        <v>9</v>
      </c>
      <c r="AO11" s="422">
        <v>10</v>
      </c>
      <c r="AP11" s="422">
        <v>9</v>
      </c>
      <c r="AQ11" s="422">
        <v>12</v>
      </c>
      <c r="AR11" s="423">
        <v>9</v>
      </c>
      <c r="AS11" s="420" t="s">
        <v>432</v>
      </c>
      <c r="AT11" s="424" t="s">
        <v>361</v>
      </c>
      <c r="AU11" s="415" t="s">
        <v>324</v>
      </c>
      <c r="AV11" s="415" t="s">
        <v>324</v>
      </c>
      <c r="AW11" s="415" t="s">
        <v>323</v>
      </c>
      <c r="AX11" s="415" t="s">
        <v>323</v>
      </c>
      <c r="AY11" s="415" t="s">
        <v>322</v>
      </c>
      <c r="AZ11" s="415" t="s">
        <v>369</v>
      </c>
      <c r="BA11" s="413" t="s">
        <v>369</v>
      </c>
      <c r="BB11" s="425"/>
      <c r="BC11" s="415"/>
      <c r="BD11" s="415"/>
      <c r="BE11" s="415"/>
      <c r="BF11" s="413"/>
      <c r="BG11" s="421"/>
      <c r="BH11" s="402" t="s">
        <v>437</v>
      </c>
      <c r="BI11" s="413"/>
      <c r="BJ11" s="414" t="s">
        <v>552</v>
      </c>
      <c r="BK11" s="404" t="s">
        <v>551</v>
      </c>
      <c r="BL11" s="400" t="s">
        <v>326</v>
      </c>
      <c r="BM11" s="401" t="s">
        <v>327</v>
      </c>
      <c r="BN11" s="401" t="s">
        <v>328</v>
      </c>
      <c r="BO11" s="401" t="s">
        <v>329</v>
      </c>
      <c r="BP11" s="404" t="s">
        <v>330</v>
      </c>
      <c r="BQ11" s="402"/>
      <c r="BR11" s="415"/>
      <c r="BS11" s="413"/>
      <c r="BT11" s="401" t="s">
        <v>432</v>
      </c>
      <c r="BU11" s="401" t="s">
        <v>551</v>
      </c>
      <c r="BV11" s="400" t="s">
        <v>433</v>
      </c>
      <c r="BW11" s="401" t="s">
        <v>434</v>
      </c>
      <c r="BX11" s="401" t="s">
        <v>435</v>
      </c>
      <c r="BY11" s="401" t="s">
        <v>408</v>
      </c>
      <c r="BZ11" s="404" t="s">
        <v>629</v>
      </c>
      <c r="CA11" s="400" t="s">
        <v>329</v>
      </c>
      <c r="CB11" s="401" t="s">
        <v>330</v>
      </c>
      <c r="CC11" s="401" t="s">
        <v>329</v>
      </c>
      <c r="CD11" s="401" t="s">
        <v>332</v>
      </c>
      <c r="CE11" s="401" t="s">
        <v>331</v>
      </c>
      <c r="CF11" s="400" t="s">
        <v>323</v>
      </c>
      <c r="CG11" s="401" t="s">
        <v>387</v>
      </c>
      <c r="CH11" s="404" t="s">
        <v>369</v>
      </c>
      <c r="CI11" s="413"/>
      <c r="CJ11" s="402" t="s">
        <v>326</v>
      </c>
      <c r="CK11" s="401" t="s">
        <v>322</v>
      </c>
    </row>
    <row r="12" spans="1:89" ht="9">
      <c r="A12" s="394" t="s">
        <v>332</v>
      </c>
      <c r="B12" s="398" t="s">
        <v>438</v>
      </c>
      <c r="C12" s="400" t="s">
        <v>425</v>
      </c>
      <c r="D12" s="401" t="s">
        <v>420</v>
      </c>
      <c r="E12" s="401" t="s">
        <v>413</v>
      </c>
      <c r="F12" s="401" t="s">
        <v>439</v>
      </c>
      <c r="G12" s="401" t="s">
        <v>440</v>
      </c>
      <c r="H12" s="401" t="s">
        <v>403</v>
      </c>
      <c r="I12" s="401" t="s">
        <v>441</v>
      </c>
      <c r="J12" s="401" t="s">
        <v>442</v>
      </c>
      <c r="K12" s="402" t="s">
        <v>429</v>
      </c>
      <c r="L12" s="403" t="s">
        <v>628</v>
      </c>
      <c r="M12" s="402" t="s">
        <v>429</v>
      </c>
      <c r="N12" s="401" t="s">
        <v>420</v>
      </c>
      <c r="O12" s="401" t="s">
        <v>413</v>
      </c>
      <c r="P12" s="401" t="s">
        <v>367</v>
      </c>
      <c r="Q12" s="401" t="s">
        <v>629</v>
      </c>
      <c r="R12" s="401" t="s">
        <v>609</v>
      </c>
      <c r="S12" s="401" t="s">
        <v>404</v>
      </c>
      <c r="T12" s="401" t="s">
        <v>464</v>
      </c>
      <c r="U12" s="399" t="s">
        <v>630</v>
      </c>
      <c r="V12" s="401" t="s">
        <v>423</v>
      </c>
      <c r="W12" s="404" t="s">
        <v>412</v>
      </c>
      <c r="X12" s="400"/>
      <c r="Y12" s="401"/>
      <c r="Z12" s="401"/>
      <c r="AA12" s="401"/>
      <c r="AB12" s="404"/>
      <c r="AC12" s="420" t="s">
        <v>715</v>
      </c>
      <c r="AD12" s="404" t="s">
        <v>530</v>
      </c>
      <c r="AE12" s="421">
        <v>4</v>
      </c>
      <c r="AF12" s="422">
        <v>4</v>
      </c>
      <c r="AG12" s="422">
        <v>4</v>
      </c>
      <c r="AH12" s="422">
        <v>3</v>
      </c>
      <c r="AI12" s="422">
        <v>2</v>
      </c>
      <c r="AJ12" s="422">
        <v>1</v>
      </c>
      <c r="AK12" s="422" t="s">
        <v>369</v>
      </c>
      <c r="AL12" s="422" t="s">
        <v>369</v>
      </c>
      <c r="AM12" s="423" t="s">
        <v>369</v>
      </c>
      <c r="AN12" s="421">
        <v>9</v>
      </c>
      <c r="AO12" s="422">
        <v>10</v>
      </c>
      <c r="AP12" s="422">
        <v>9</v>
      </c>
      <c r="AQ12" s="422">
        <v>12</v>
      </c>
      <c r="AR12" s="423">
        <v>9</v>
      </c>
      <c r="AS12" s="420" t="s">
        <v>752</v>
      </c>
      <c r="AT12" s="424" t="s">
        <v>361</v>
      </c>
      <c r="AU12" s="415" t="s">
        <v>324</v>
      </c>
      <c r="AV12" s="415" t="s">
        <v>324</v>
      </c>
      <c r="AW12" s="415" t="s">
        <v>324</v>
      </c>
      <c r="AX12" s="415" t="s">
        <v>323</v>
      </c>
      <c r="AY12" s="415" t="s">
        <v>322</v>
      </c>
      <c r="AZ12" s="415" t="s">
        <v>387</v>
      </c>
      <c r="BA12" s="413" t="s">
        <v>369</v>
      </c>
      <c r="BB12" s="425"/>
      <c r="BC12" s="415"/>
      <c r="BD12" s="415"/>
      <c r="BE12" s="415"/>
      <c r="BF12" s="413"/>
      <c r="BG12" s="421"/>
      <c r="BH12" s="402"/>
      <c r="BI12" s="413" t="s">
        <v>631</v>
      </c>
      <c r="BJ12" s="414" t="s">
        <v>553</v>
      </c>
      <c r="BK12" s="404" t="s">
        <v>551</v>
      </c>
      <c r="BL12" s="400" t="s">
        <v>326</v>
      </c>
      <c r="BM12" s="401" t="s">
        <v>327</v>
      </c>
      <c r="BN12" s="401" t="s">
        <v>328</v>
      </c>
      <c r="BO12" s="401" t="s">
        <v>329</v>
      </c>
      <c r="BP12" s="404" t="s">
        <v>330</v>
      </c>
      <c r="BQ12" s="402" t="s">
        <v>554</v>
      </c>
      <c r="BR12" s="415" t="s">
        <v>483</v>
      </c>
      <c r="BS12" s="413" t="s">
        <v>555</v>
      </c>
      <c r="BT12" s="401" t="s">
        <v>438</v>
      </c>
      <c r="BU12" s="401" t="s">
        <v>551</v>
      </c>
      <c r="BV12" s="400" t="s">
        <v>440</v>
      </c>
      <c r="BW12" s="401" t="s">
        <v>403</v>
      </c>
      <c r="BX12" s="401" t="s">
        <v>441</v>
      </c>
      <c r="BY12" s="401" t="s">
        <v>413</v>
      </c>
      <c r="BZ12" s="404" t="s">
        <v>441</v>
      </c>
      <c r="CA12" s="400" t="s">
        <v>329</v>
      </c>
      <c r="CB12" s="401" t="s">
        <v>330</v>
      </c>
      <c r="CC12" s="401" t="s">
        <v>329</v>
      </c>
      <c r="CD12" s="401" t="s">
        <v>332</v>
      </c>
      <c r="CE12" s="401" t="s">
        <v>331</v>
      </c>
      <c r="CF12" s="400" t="s">
        <v>323</v>
      </c>
      <c r="CG12" s="401" t="s">
        <v>387</v>
      </c>
      <c r="CH12" s="404" t="s">
        <v>369</v>
      </c>
      <c r="CI12" s="413"/>
      <c r="CJ12" s="402" t="s">
        <v>327</v>
      </c>
      <c r="CK12" s="401" t="s">
        <v>323</v>
      </c>
    </row>
    <row r="13" spans="1:89" ht="9">
      <c r="A13" s="394" t="s">
        <v>333</v>
      </c>
      <c r="B13" s="398" t="s">
        <v>443</v>
      </c>
      <c r="C13" s="400" t="s">
        <v>444</v>
      </c>
      <c r="D13" s="401" t="s">
        <v>425</v>
      </c>
      <c r="E13" s="401" t="s">
        <v>433</v>
      </c>
      <c r="F13" s="401" t="s">
        <v>445</v>
      </c>
      <c r="G13" s="401" t="s">
        <v>425</v>
      </c>
      <c r="H13" s="401" t="s">
        <v>446</v>
      </c>
      <c r="I13" s="401" t="s">
        <v>367</v>
      </c>
      <c r="J13" s="401" t="s">
        <v>447</v>
      </c>
      <c r="K13" s="402" t="s">
        <v>429</v>
      </c>
      <c r="L13" s="403" t="s">
        <v>632</v>
      </c>
      <c r="M13" s="402" t="s">
        <v>429</v>
      </c>
      <c r="N13" s="401" t="s">
        <v>425</v>
      </c>
      <c r="O13" s="401" t="s">
        <v>433</v>
      </c>
      <c r="P13" s="401" t="s">
        <v>389</v>
      </c>
      <c r="Q13" s="401" t="s">
        <v>449</v>
      </c>
      <c r="R13" s="401" t="s">
        <v>396</v>
      </c>
      <c r="S13" s="401" t="s">
        <v>409</v>
      </c>
      <c r="T13" s="401" t="s">
        <v>469</v>
      </c>
      <c r="U13" s="399" t="s">
        <v>633</v>
      </c>
      <c r="V13" s="401" t="s">
        <v>365</v>
      </c>
      <c r="W13" s="404" t="s">
        <v>418</v>
      </c>
      <c r="X13" s="400" t="s">
        <v>327</v>
      </c>
      <c r="Y13" s="401" t="s">
        <v>328</v>
      </c>
      <c r="Z13" s="401" t="s">
        <v>327</v>
      </c>
      <c r="AA13" s="401" t="s">
        <v>330</v>
      </c>
      <c r="AB13" s="404" t="s">
        <v>329</v>
      </c>
      <c r="AC13" s="420" t="s">
        <v>716</v>
      </c>
      <c r="AD13" s="404" t="s">
        <v>531</v>
      </c>
      <c r="AE13" s="421">
        <v>4</v>
      </c>
      <c r="AF13" s="422">
        <v>4</v>
      </c>
      <c r="AG13" s="422">
        <v>4</v>
      </c>
      <c r="AH13" s="422">
        <v>3</v>
      </c>
      <c r="AI13" s="422">
        <v>2</v>
      </c>
      <c r="AJ13" s="422">
        <v>2</v>
      </c>
      <c r="AK13" s="422" t="s">
        <v>369</v>
      </c>
      <c r="AL13" s="422" t="s">
        <v>369</v>
      </c>
      <c r="AM13" s="423" t="s">
        <v>369</v>
      </c>
      <c r="AN13" s="421">
        <v>9</v>
      </c>
      <c r="AO13" s="422">
        <v>10</v>
      </c>
      <c r="AP13" s="422">
        <v>9</v>
      </c>
      <c r="AQ13" s="422">
        <v>12</v>
      </c>
      <c r="AR13" s="423">
        <v>9</v>
      </c>
      <c r="AS13" s="420" t="s">
        <v>553</v>
      </c>
      <c r="AT13" s="424" t="s">
        <v>361</v>
      </c>
      <c r="AU13" s="415" t="s">
        <v>325</v>
      </c>
      <c r="AV13" s="415" t="s">
        <v>325</v>
      </c>
      <c r="AW13" s="415" t="s">
        <v>324</v>
      </c>
      <c r="AX13" s="415" t="s">
        <v>323</v>
      </c>
      <c r="AY13" s="415" t="s">
        <v>322</v>
      </c>
      <c r="AZ13" s="415" t="s">
        <v>322</v>
      </c>
      <c r="BA13" s="413" t="s">
        <v>369</v>
      </c>
      <c r="BB13" s="425" t="s">
        <v>326</v>
      </c>
      <c r="BC13" s="415" t="s">
        <v>327</v>
      </c>
      <c r="BD13" s="415" t="s">
        <v>328</v>
      </c>
      <c r="BE13" s="415" t="s">
        <v>330</v>
      </c>
      <c r="BF13" s="413" t="s">
        <v>329</v>
      </c>
      <c r="BG13" s="421" t="s">
        <v>360</v>
      </c>
      <c r="BH13" s="402"/>
      <c r="BI13" s="413"/>
      <c r="BJ13" s="414" t="s">
        <v>556</v>
      </c>
      <c r="BK13" s="404" t="s">
        <v>551</v>
      </c>
      <c r="BL13" s="400" t="s">
        <v>326</v>
      </c>
      <c r="BM13" s="401" t="s">
        <v>326</v>
      </c>
      <c r="BN13" s="401" t="s">
        <v>327</v>
      </c>
      <c r="BO13" s="401" t="s">
        <v>328</v>
      </c>
      <c r="BP13" s="404" t="s">
        <v>329</v>
      </c>
      <c r="BQ13" s="402"/>
      <c r="BR13" s="415"/>
      <c r="BS13" s="413"/>
      <c r="BT13" s="401" t="s">
        <v>443</v>
      </c>
      <c r="BU13" s="401" t="s">
        <v>551</v>
      </c>
      <c r="BV13" s="400" t="s">
        <v>425</v>
      </c>
      <c r="BW13" s="401" t="s">
        <v>446</v>
      </c>
      <c r="BX13" s="401" t="s">
        <v>367</v>
      </c>
      <c r="BY13" s="401" t="s">
        <v>420</v>
      </c>
      <c r="BZ13" s="404" t="s">
        <v>468</v>
      </c>
      <c r="CA13" s="400" t="s">
        <v>327</v>
      </c>
      <c r="CB13" s="401" t="s">
        <v>328</v>
      </c>
      <c r="CC13" s="401" t="s">
        <v>327</v>
      </c>
      <c r="CD13" s="401" t="s">
        <v>330</v>
      </c>
      <c r="CE13" s="401" t="s">
        <v>329</v>
      </c>
      <c r="CF13" s="400" t="s">
        <v>323</v>
      </c>
      <c r="CG13" s="401" t="s">
        <v>322</v>
      </c>
      <c r="CH13" s="404" t="s">
        <v>369</v>
      </c>
      <c r="CI13" s="413"/>
      <c r="CJ13" s="402" t="s">
        <v>327</v>
      </c>
      <c r="CK13" s="401" t="s">
        <v>323</v>
      </c>
    </row>
    <row r="14" spans="1:89" ht="9">
      <c r="A14" s="394" t="s">
        <v>334</v>
      </c>
      <c r="B14" s="398" t="s">
        <v>448</v>
      </c>
      <c r="C14" s="400" t="s">
        <v>366</v>
      </c>
      <c r="D14" s="401" t="s">
        <v>430</v>
      </c>
      <c r="E14" s="401" t="s">
        <v>440</v>
      </c>
      <c r="F14" s="401" t="s">
        <v>449</v>
      </c>
      <c r="G14" s="401" t="s">
        <v>450</v>
      </c>
      <c r="H14" s="401" t="s">
        <v>364</v>
      </c>
      <c r="I14" s="401" t="s">
        <v>451</v>
      </c>
      <c r="J14" s="401" t="s">
        <v>452</v>
      </c>
      <c r="K14" s="402" t="s">
        <v>429</v>
      </c>
      <c r="L14" s="403" t="s">
        <v>556</v>
      </c>
      <c r="M14" s="402" t="s">
        <v>429</v>
      </c>
      <c r="N14" s="401" t="s">
        <v>430</v>
      </c>
      <c r="O14" s="401" t="s">
        <v>440</v>
      </c>
      <c r="P14" s="401" t="s">
        <v>414</v>
      </c>
      <c r="Q14" s="401" t="s">
        <v>414</v>
      </c>
      <c r="R14" s="401" t="s">
        <v>417</v>
      </c>
      <c r="S14" s="401" t="s">
        <v>414</v>
      </c>
      <c r="T14" s="401" t="s">
        <v>472</v>
      </c>
      <c r="U14" s="399" t="s">
        <v>634</v>
      </c>
      <c r="V14" s="401" t="s">
        <v>430</v>
      </c>
      <c r="W14" s="404" t="s">
        <v>420</v>
      </c>
      <c r="X14" s="400"/>
      <c r="Y14" s="401"/>
      <c r="Z14" s="401"/>
      <c r="AA14" s="401"/>
      <c r="AB14" s="404"/>
      <c r="AC14" s="420" t="s">
        <v>717</v>
      </c>
      <c r="AD14" s="404" t="s">
        <v>530</v>
      </c>
      <c r="AE14" s="421">
        <v>4</v>
      </c>
      <c r="AF14" s="422">
        <v>4</v>
      </c>
      <c r="AG14" s="422">
        <v>4</v>
      </c>
      <c r="AH14" s="422">
        <v>4</v>
      </c>
      <c r="AI14" s="422">
        <v>3</v>
      </c>
      <c r="AJ14" s="422">
        <v>2</v>
      </c>
      <c r="AK14" s="422" t="s">
        <v>369</v>
      </c>
      <c r="AL14" s="422" t="s">
        <v>369</v>
      </c>
      <c r="AM14" s="423" t="s">
        <v>369</v>
      </c>
      <c r="AN14" s="421">
        <v>9</v>
      </c>
      <c r="AO14" s="422">
        <v>10</v>
      </c>
      <c r="AP14" s="422">
        <v>9</v>
      </c>
      <c r="AQ14" s="422">
        <v>12</v>
      </c>
      <c r="AR14" s="423">
        <v>9</v>
      </c>
      <c r="AS14" s="420" t="s">
        <v>753</v>
      </c>
      <c r="AT14" s="424" t="s">
        <v>361</v>
      </c>
      <c r="AU14" s="415" t="s">
        <v>325</v>
      </c>
      <c r="AV14" s="415" t="s">
        <v>325</v>
      </c>
      <c r="AW14" s="415" t="s">
        <v>325</v>
      </c>
      <c r="AX14" s="415" t="s">
        <v>323</v>
      </c>
      <c r="AY14" s="415" t="s">
        <v>323</v>
      </c>
      <c r="AZ14" s="415" t="s">
        <v>322</v>
      </c>
      <c r="BA14" s="413" t="s">
        <v>369</v>
      </c>
      <c r="BB14" s="425"/>
      <c r="BC14" s="415"/>
      <c r="BD14" s="415"/>
      <c r="BE14" s="415"/>
      <c r="BF14" s="413"/>
      <c r="BG14" s="421"/>
      <c r="BH14" s="402"/>
      <c r="BI14" s="413"/>
      <c r="BJ14" s="414" t="s">
        <v>557</v>
      </c>
      <c r="BK14" s="404" t="s">
        <v>551</v>
      </c>
      <c r="BL14" s="400" t="s">
        <v>326</v>
      </c>
      <c r="BM14" s="401" t="s">
        <v>326</v>
      </c>
      <c r="BN14" s="401" t="s">
        <v>327</v>
      </c>
      <c r="BO14" s="401" t="s">
        <v>328</v>
      </c>
      <c r="BP14" s="404" t="s">
        <v>329</v>
      </c>
      <c r="BQ14" s="402"/>
      <c r="BR14" s="415"/>
      <c r="BS14" s="413"/>
      <c r="BT14" s="401" t="s">
        <v>448</v>
      </c>
      <c r="BU14" s="401" t="s">
        <v>551</v>
      </c>
      <c r="BV14" s="400" t="s">
        <v>450</v>
      </c>
      <c r="BW14" s="401" t="s">
        <v>364</v>
      </c>
      <c r="BX14" s="401" t="s">
        <v>451</v>
      </c>
      <c r="BY14" s="401" t="s">
        <v>425</v>
      </c>
      <c r="BZ14" s="404" t="s">
        <v>445</v>
      </c>
      <c r="CA14" s="400" t="s">
        <v>327</v>
      </c>
      <c r="CB14" s="401" t="s">
        <v>328</v>
      </c>
      <c r="CC14" s="401" t="s">
        <v>327</v>
      </c>
      <c r="CD14" s="401" t="s">
        <v>330</v>
      </c>
      <c r="CE14" s="401" t="s">
        <v>329</v>
      </c>
      <c r="CF14" s="400" t="s">
        <v>323</v>
      </c>
      <c r="CG14" s="401" t="s">
        <v>322</v>
      </c>
      <c r="CH14" s="404" t="s">
        <v>369</v>
      </c>
      <c r="CI14" s="413"/>
      <c r="CJ14" s="402" t="s">
        <v>328</v>
      </c>
      <c r="CK14" s="401" t="s">
        <v>323</v>
      </c>
    </row>
    <row r="15" spans="1:89" ht="9">
      <c r="A15" s="394" t="s">
        <v>335</v>
      </c>
      <c r="B15" s="398" t="s">
        <v>453</v>
      </c>
      <c r="C15" s="400" t="s">
        <v>439</v>
      </c>
      <c r="D15" s="401" t="s">
        <v>454</v>
      </c>
      <c r="E15" s="401" t="s">
        <v>455</v>
      </c>
      <c r="F15" s="401" t="s">
        <v>401</v>
      </c>
      <c r="G15" s="401" t="s">
        <v>430</v>
      </c>
      <c r="H15" s="401" t="s">
        <v>413</v>
      </c>
      <c r="I15" s="401" t="s">
        <v>389</v>
      </c>
      <c r="J15" s="401" t="s">
        <v>456</v>
      </c>
      <c r="K15" s="402" t="s">
        <v>429</v>
      </c>
      <c r="L15" s="403" t="s">
        <v>635</v>
      </c>
      <c r="M15" s="402" t="s">
        <v>429</v>
      </c>
      <c r="N15" s="401" t="s">
        <v>435</v>
      </c>
      <c r="O15" s="401" t="s">
        <v>455</v>
      </c>
      <c r="P15" s="401" t="s">
        <v>447</v>
      </c>
      <c r="Q15" s="401" t="s">
        <v>447</v>
      </c>
      <c r="R15" s="401" t="s">
        <v>400</v>
      </c>
      <c r="S15" s="401" t="s">
        <v>421</v>
      </c>
      <c r="T15" s="401" t="s">
        <v>475</v>
      </c>
      <c r="U15" s="399" t="s">
        <v>636</v>
      </c>
      <c r="V15" s="401" t="s">
        <v>439</v>
      </c>
      <c r="W15" s="404" t="s">
        <v>444</v>
      </c>
      <c r="X15" s="400"/>
      <c r="Y15" s="401"/>
      <c r="Z15" s="401"/>
      <c r="AA15" s="401"/>
      <c r="AB15" s="404"/>
      <c r="AC15" s="420" t="s">
        <v>560</v>
      </c>
      <c r="AD15" s="404" t="s">
        <v>530</v>
      </c>
      <c r="AE15" s="421">
        <v>5</v>
      </c>
      <c r="AF15" s="422">
        <v>4</v>
      </c>
      <c r="AG15" s="422">
        <v>4</v>
      </c>
      <c r="AH15" s="422">
        <v>4</v>
      </c>
      <c r="AI15" s="422">
        <v>3</v>
      </c>
      <c r="AJ15" s="422">
        <v>2</v>
      </c>
      <c r="AK15" s="422">
        <v>1</v>
      </c>
      <c r="AL15" s="422" t="s">
        <v>369</v>
      </c>
      <c r="AM15" s="423" t="s">
        <v>369</v>
      </c>
      <c r="AN15" s="421">
        <v>9</v>
      </c>
      <c r="AO15" s="422">
        <v>10</v>
      </c>
      <c r="AP15" s="422">
        <v>9</v>
      </c>
      <c r="AQ15" s="422">
        <v>12</v>
      </c>
      <c r="AR15" s="423">
        <v>9</v>
      </c>
      <c r="AS15" s="420" t="s">
        <v>754</v>
      </c>
      <c r="AT15" s="424" t="s">
        <v>361</v>
      </c>
      <c r="AU15" s="415" t="s">
        <v>326</v>
      </c>
      <c r="AV15" s="415" t="s">
        <v>325</v>
      </c>
      <c r="AW15" s="415" t="s">
        <v>325</v>
      </c>
      <c r="AX15" s="415" t="s">
        <v>323</v>
      </c>
      <c r="AY15" s="415" t="s">
        <v>323</v>
      </c>
      <c r="AZ15" s="415" t="s">
        <v>323</v>
      </c>
      <c r="BA15" s="413" t="s">
        <v>369</v>
      </c>
      <c r="BB15" s="425"/>
      <c r="BC15" s="415"/>
      <c r="BD15" s="415"/>
      <c r="BE15" s="415"/>
      <c r="BF15" s="413"/>
      <c r="BG15" s="421"/>
      <c r="BH15" s="402" t="s">
        <v>457</v>
      </c>
      <c r="BI15" s="413"/>
      <c r="BJ15" s="414" t="s">
        <v>558</v>
      </c>
      <c r="BK15" s="404" t="s">
        <v>551</v>
      </c>
      <c r="BL15" s="400" t="s">
        <v>326</v>
      </c>
      <c r="BM15" s="401" t="s">
        <v>326</v>
      </c>
      <c r="BN15" s="401" t="s">
        <v>327</v>
      </c>
      <c r="BO15" s="401" t="s">
        <v>328</v>
      </c>
      <c r="BP15" s="404" t="s">
        <v>329</v>
      </c>
      <c r="BQ15" s="402"/>
      <c r="BR15" s="415" t="s">
        <v>504</v>
      </c>
      <c r="BS15" s="413"/>
      <c r="BT15" s="401" t="s">
        <v>453</v>
      </c>
      <c r="BU15" s="401" t="s">
        <v>551</v>
      </c>
      <c r="BV15" s="400" t="s">
        <v>430</v>
      </c>
      <c r="BW15" s="401" t="s">
        <v>413</v>
      </c>
      <c r="BX15" s="401" t="s">
        <v>389</v>
      </c>
      <c r="BY15" s="401" t="s">
        <v>430</v>
      </c>
      <c r="BZ15" s="404" t="s">
        <v>367</v>
      </c>
      <c r="CA15" s="400" t="s">
        <v>327</v>
      </c>
      <c r="CB15" s="401" t="s">
        <v>328</v>
      </c>
      <c r="CC15" s="401" t="s">
        <v>327</v>
      </c>
      <c r="CD15" s="401" t="s">
        <v>330</v>
      </c>
      <c r="CE15" s="401" t="s">
        <v>329</v>
      </c>
      <c r="CF15" s="400" t="s">
        <v>323</v>
      </c>
      <c r="CG15" s="401" t="s">
        <v>322</v>
      </c>
      <c r="CH15" s="404" t="s">
        <v>387</v>
      </c>
      <c r="CI15" s="413" t="s">
        <v>694</v>
      </c>
      <c r="CJ15" s="402" t="s">
        <v>328</v>
      </c>
      <c r="CK15" s="401" t="s">
        <v>323</v>
      </c>
    </row>
    <row r="16" spans="1:89" ht="9">
      <c r="A16" s="394" t="s">
        <v>336</v>
      </c>
      <c r="B16" s="398" t="s">
        <v>458</v>
      </c>
      <c r="C16" s="400" t="s">
        <v>441</v>
      </c>
      <c r="D16" s="401" t="s">
        <v>459</v>
      </c>
      <c r="E16" s="401" t="s">
        <v>430</v>
      </c>
      <c r="F16" s="401" t="s">
        <v>426</v>
      </c>
      <c r="G16" s="401" t="s">
        <v>366</v>
      </c>
      <c r="H16" s="401" t="s">
        <v>423</v>
      </c>
      <c r="I16" s="401" t="s">
        <v>401</v>
      </c>
      <c r="J16" s="401" t="s">
        <v>460</v>
      </c>
      <c r="K16" s="402" t="s">
        <v>429</v>
      </c>
      <c r="L16" s="403" t="s">
        <v>458</v>
      </c>
      <c r="M16" s="402" t="s">
        <v>429</v>
      </c>
      <c r="N16" s="401" t="s">
        <v>441</v>
      </c>
      <c r="O16" s="401" t="s">
        <v>430</v>
      </c>
      <c r="P16" s="401" t="s">
        <v>447</v>
      </c>
      <c r="Q16" s="401" t="s">
        <v>447</v>
      </c>
      <c r="R16" s="401" t="s">
        <v>615</v>
      </c>
      <c r="S16" s="401" t="s">
        <v>426</v>
      </c>
      <c r="T16" s="401" t="s">
        <v>478</v>
      </c>
      <c r="U16" s="399" t="s">
        <v>637</v>
      </c>
      <c r="V16" s="401" t="s">
        <v>445</v>
      </c>
      <c r="W16" s="404" t="s">
        <v>439</v>
      </c>
      <c r="X16" s="400"/>
      <c r="Y16" s="401"/>
      <c r="Z16" s="401"/>
      <c r="AA16" s="401"/>
      <c r="AB16" s="404"/>
      <c r="AC16" s="420" t="s">
        <v>718</v>
      </c>
      <c r="AD16" s="404" t="s">
        <v>530</v>
      </c>
      <c r="AE16" s="421">
        <v>5</v>
      </c>
      <c r="AF16" s="422">
        <v>5</v>
      </c>
      <c r="AG16" s="422">
        <v>5</v>
      </c>
      <c r="AH16" s="422">
        <v>4</v>
      </c>
      <c r="AI16" s="422">
        <v>3</v>
      </c>
      <c r="AJ16" s="422">
        <v>2</v>
      </c>
      <c r="AK16" s="422">
        <v>2</v>
      </c>
      <c r="AL16" s="422" t="s">
        <v>369</v>
      </c>
      <c r="AM16" s="423" t="s">
        <v>369</v>
      </c>
      <c r="AN16" s="421">
        <v>7</v>
      </c>
      <c r="AO16" s="422">
        <v>8</v>
      </c>
      <c r="AP16" s="422">
        <v>7</v>
      </c>
      <c r="AQ16" s="422">
        <v>10</v>
      </c>
      <c r="AR16" s="423">
        <v>6</v>
      </c>
      <c r="AS16" s="420" t="s">
        <v>716</v>
      </c>
      <c r="AT16" s="424" t="s">
        <v>361</v>
      </c>
      <c r="AU16" s="415" t="s">
        <v>326</v>
      </c>
      <c r="AV16" s="415" t="s">
        <v>325</v>
      </c>
      <c r="AW16" s="415" t="s">
        <v>325</v>
      </c>
      <c r="AX16" s="415" t="s">
        <v>324</v>
      </c>
      <c r="AY16" s="415" t="s">
        <v>324</v>
      </c>
      <c r="AZ16" s="415" t="s">
        <v>323</v>
      </c>
      <c r="BA16" s="413" t="s">
        <v>369</v>
      </c>
      <c r="BB16" s="425"/>
      <c r="BC16" s="415"/>
      <c r="BD16" s="415"/>
      <c r="BE16" s="415"/>
      <c r="BF16" s="413"/>
      <c r="BG16" s="421"/>
      <c r="BH16" s="402"/>
      <c r="BI16" s="413"/>
      <c r="BJ16" s="414" t="s">
        <v>559</v>
      </c>
      <c r="BK16" s="404" t="s">
        <v>551</v>
      </c>
      <c r="BL16" s="400" t="s">
        <v>325</v>
      </c>
      <c r="BM16" s="401" t="s">
        <v>326</v>
      </c>
      <c r="BN16" s="401" t="s">
        <v>326</v>
      </c>
      <c r="BO16" s="401" t="s">
        <v>327</v>
      </c>
      <c r="BP16" s="404" t="s">
        <v>328</v>
      </c>
      <c r="BQ16" s="402"/>
      <c r="BS16" s="413"/>
      <c r="BT16" s="401" t="s">
        <v>695</v>
      </c>
      <c r="BU16" s="401" t="s">
        <v>551</v>
      </c>
      <c r="BV16" s="400" t="s">
        <v>366</v>
      </c>
      <c r="BW16" s="401" t="s">
        <v>423</v>
      </c>
      <c r="BX16" s="401" t="s">
        <v>401</v>
      </c>
      <c r="BY16" s="401" t="s">
        <v>454</v>
      </c>
      <c r="BZ16" s="404" t="s">
        <v>471</v>
      </c>
      <c r="CA16" s="400" t="s">
        <v>327</v>
      </c>
      <c r="CB16" s="401" t="s">
        <v>328</v>
      </c>
      <c r="CC16" s="401" t="s">
        <v>327</v>
      </c>
      <c r="CD16" s="401" t="s">
        <v>330</v>
      </c>
      <c r="CE16" s="401" t="s">
        <v>329</v>
      </c>
      <c r="CF16" s="400" t="s">
        <v>323</v>
      </c>
      <c r="CG16" s="401" t="s">
        <v>322</v>
      </c>
      <c r="CH16" s="404" t="s">
        <v>387</v>
      </c>
      <c r="CI16" s="413"/>
      <c r="CJ16" s="402" t="s">
        <v>329</v>
      </c>
      <c r="CK16" s="401" t="s">
        <v>323</v>
      </c>
    </row>
    <row r="17" spans="1:89" ht="9">
      <c r="A17" s="394" t="s">
        <v>337</v>
      </c>
      <c r="B17" s="398" t="s">
        <v>461</v>
      </c>
      <c r="C17" s="400" t="s">
        <v>367</v>
      </c>
      <c r="D17" s="401" t="s">
        <v>445</v>
      </c>
      <c r="E17" s="401" t="s">
        <v>454</v>
      </c>
      <c r="F17" s="401" t="s">
        <v>452</v>
      </c>
      <c r="G17" s="401" t="s">
        <v>435</v>
      </c>
      <c r="H17" s="401" t="s">
        <v>420</v>
      </c>
      <c r="I17" s="401" t="s">
        <v>409</v>
      </c>
      <c r="J17" s="401" t="s">
        <v>462</v>
      </c>
      <c r="K17" s="402" t="s">
        <v>429</v>
      </c>
      <c r="L17" s="403" t="s">
        <v>638</v>
      </c>
      <c r="M17" s="402" t="s">
        <v>429</v>
      </c>
      <c r="N17" s="401" t="s">
        <v>367</v>
      </c>
      <c r="O17" s="401" t="s">
        <v>454</v>
      </c>
      <c r="P17" s="401" t="s">
        <v>447</v>
      </c>
      <c r="Q17" s="401" t="s">
        <v>447</v>
      </c>
      <c r="R17" s="401" t="s">
        <v>403</v>
      </c>
      <c r="S17" s="401" t="s">
        <v>431</v>
      </c>
      <c r="T17" s="401" t="s">
        <v>481</v>
      </c>
      <c r="U17" s="399" t="s">
        <v>639</v>
      </c>
      <c r="V17" s="401" t="s">
        <v>449</v>
      </c>
      <c r="W17" s="404" t="s">
        <v>439</v>
      </c>
      <c r="X17" s="400" t="s">
        <v>325</v>
      </c>
      <c r="Y17" s="401" t="s">
        <v>326</v>
      </c>
      <c r="Z17" s="401" t="s">
        <v>325</v>
      </c>
      <c r="AA17" s="401" t="s">
        <v>328</v>
      </c>
      <c r="AB17" s="404" t="s">
        <v>327</v>
      </c>
      <c r="AC17" s="420" t="s">
        <v>719</v>
      </c>
      <c r="AD17" s="404" t="s">
        <v>530</v>
      </c>
      <c r="AE17" s="421">
        <v>6</v>
      </c>
      <c r="AF17" s="422">
        <v>5</v>
      </c>
      <c r="AG17" s="422">
        <v>5</v>
      </c>
      <c r="AH17" s="422">
        <v>4</v>
      </c>
      <c r="AI17" s="422">
        <v>4</v>
      </c>
      <c r="AJ17" s="422">
        <v>3</v>
      </c>
      <c r="AK17" s="422">
        <v>2</v>
      </c>
      <c r="AL17" s="422" t="s">
        <v>369</v>
      </c>
      <c r="AM17" s="423" t="s">
        <v>369</v>
      </c>
      <c r="AN17" s="421">
        <v>7</v>
      </c>
      <c r="AO17" s="422">
        <v>8</v>
      </c>
      <c r="AP17" s="422">
        <v>7</v>
      </c>
      <c r="AQ17" s="422">
        <v>10</v>
      </c>
      <c r="AR17" s="423">
        <v>6</v>
      </c>
      <c r="AS17" s="420" t="s">
        <v>458</v>
      </c>
      <c r="AT17" s="424" t="s">
        <v>361</v>
      </c>
      <c r="AU17" s="415" t="s">
        <v>326</v>
      </c>
      <c r="AV17" s="415" t="s">
        <v>326</v>
      </c>
      <c r="AW17" s="415" t="s">
        <v>325</v>
      </c>
      <c r="AX17" s="415" t="s">
        <v>324</v>
      </c>
      <c r="AY17" s="415" t="s">
        <v>324</v>
      </c>
      <c r="AZ17" s="415" t="s">
        <v>323</v>
      </c>
      <c r="BA17" s="413" t="s">
        <v>387</v>
      </c>
      <c r="BB17" s="425" t="s">
        <v>325</v>
      </c>
      <c r="BC17" s="415" t="s">
        <v>326</v>
      </c>
      <c r="BD17" s="415" t="s">
        <v>326</v>
      </c>
      <c r="BE17" s="415" t="s">
        <v>328</v>
      </c>
      <c r="BF17" s="413" t="s">
        <v>327</v>
      </c>
      <c r="BG17" s="421" t="s">
        <v>360</v>
      </c>
      <c r="BH17" s="402"/>
      <c r="BI17" s="413"/>
      <c r="BJ17" s="414" t="s">
        <v>560</v>
      </c>
      <c r="BK17" s="404" t="s">
        <v>551</v>
      </c>
      <c r="BL17" s="400" t="s">
        <v>325</v>
      </c>
      <c r="BM17" s="401" t="s">
        <v>326</v>
      </c>
      <c r="BN17" s="401" t="s">
        <v>326</v>
      </c>
      <c r="BO17" s="401" t="s">
        <v>327</v>
      </c>
      <c r="BP17" s="404" t="s">
        <v>328</v>
      </c>
      <c r="BQ17" s="402"/>
      <c r="BR17" s="415"/>
      <c r="BS17" s="413"/>
      <c r="BT17" s="401" t="s">
        <v>461</v>
      </c>
      <c r="BU17" s="401" t="s">
        <v>551</v>
      </c>
      <c r="BV17" s="400" t="s">
        <v>435</v>
      </c>
      <c r="BW17" s="401" t="s">
        <v>420</v>
      </c>
      <c r="BX17" s="401" t="s">
        <v>409</v>
      </c>
      <c r="BY17" s="401" t="s">
        <v>459</v>
      </c>
      <c r="BZ17" s="404" t="s">
        <v>368</v>
      </c>
      <c r="CA17" s="400" t="s">
        <v>325</v>
      </c>
      <c r="CB17" s="401" t="s">
        <v>326</v>
      </c>
      <c r="CC17" s="401" t="s">
        <v>325</v>
      </c>
      <c r="CD17" s="401" t="s">
        <v>328</v>
      </c>
      <c r="CE17" s="401" t="s">
        <v>327</v>
      </c>
      <c r="CF17" s="400" t="s">
        <v>323</v>
      </c>
      <c r="CG17" s="401" t="s">
        <v>323</v>
      </c>
      <c r="CH17" s="404" t="s">
        <v>387</v>
      </c>
      <c r="CI17" s="413"/>
      <c r="CJ17" s="402" t="s">
        <v>329</v>
      </c>
      <c r="CK17" s="401" t="s">
        <v>323</v>
      </c>
    </row>
    <row r="18" spans="1:89" ht="9">
      <c r="A18" s="394" t="s">
        <v>338</v>
      </c>
      <c r="B18" s="398" t="s">
        <v>463</v>
      </c>
      <c r="C18" s="400" t="s">
        <v>451</v>
      </c>
      <c r="D18" s="401" t="s">
        <v>368</v>
      </c>
      <c r="E18" s="401" t="s">
        <v>459</v>
      </c>
      <c r="F18" s="401" t="s">
        <v>464</v>
      </c>
      <c r="G18" s="401" t="s">
        <v>459</v>
      </c>
      <c r="H18" s="401" t="s">
        <v>440</v>
      </c>
      <c r="I18" s="401" t="s">
        <v>421</v>
      </c>
      <c r="J18" s="401" t="s">
        <v>465</v>
      </c>
      <c r="K18" s="402" t="s">
        <v>429</v>
      </c>
      <c r="L18" s="403" t="s">
        <v>640</v>
      </c>
      <c r="M18" s="402" t="s">
        <v>429</v>
      </c>
      <c r="N18" s="401" t="s">
        <v>451</v>
      </c>
      <c r="O18" s="401" t="s">
        <v>459</v>
      </c>
      <c r="P18" s="401" t="s">
        <v>447</v>
      </c>
      <c r="Q18" s="401" t="s">
        <v>447</v>
      </c>
      <c r="R18" s="401" t="s">
        <v>418</v>
      </c>
      <c r="S18" s="401" t="s">
        <v>436</v>
      </c>
      <c r="T18" s="401" t="s">
        <v>485</v>
      </c>
      <c r="U18" s="399" t="s">
        <v>641</v>
      </c>
      <c r="V18" s="401" t="s">
        <v>401</v>
      </c>
      <c r="W18" s="404" t="s">
        <v>439</v>
      </c>
      <c r="X18" s="400"/>
      <c r="Y18" s="401"/>
      <c r="Z18" s="401"/>
      <c r="AA18" s="401"/>
      <c r="AB18" s="404"/>
      <c r="AC18" s="420" t="s">
        <v>720</v>
      </c>
      <c r="AD18" s="404" t="s">
        <v>530</v>
      </c>
      <c r="AE18" s="421">
        <v>6</v>
      </c>
      <c r="AF18" s="422">
        <v>5</v>
      </c>
      <c r="AG18" s="422">
        <v>5</v>
      </c>
      <c r="AH18" s="422">
        <v>4</v>
      </c>
      <c r="AI18" s="422">
        <v>4</v>
      </c>
      <c r="AJ18" s="422">
        <v>3</v>
      </c>
      <c r="AK18" s="422">
        <v>2</v>
      </c>
      <c r="AL18" s="422">
        <v>1</v>
      </c>
      <c r="AM18" s="423" t="s">
        <v>369</v>
      </c>
      <c r="AN18" s="421">
        <v>7</v>
      </c>
      <c r="AO18" s="422">
        <v>8</v>
      </c>
      <c r="AP18" s="422">
        <v>7</v>
      </c>
      <c r="AQ18" s="422">
        <v>10</v>
      </c>
      <c r="AR18" s="423">
        <v>6</v>
      </c>
      <c r="AS18" s="420" t="s">
        <v>755</v>
      </c>
      <c r="AT18" s="424" t="s">
        <v>361</v>
      </c>
      <c r="AU18" s="415" t="s">
        <v>326</v>
      </c>
      <c r="AV18" s="415" t="s">
        <v>326</v>
      </c>
      <c r="AW18" s="415" t="s">
        <v>325</v>
      </c>
      <c r="AX18" s="415" t="s">
        <v>324</v>
      </c>
      <c r="AY18" s="415" t="s">
        <v>324</v>
      </c>
      <c r="AZ18" s="415" t="s">
        <v>323</v>
      </c>
      <c r="BA18" s="413" t="s">
        <v>322</v>
      </c>
      <c r="BB18" s="425"/>
      <c r="BC18" s="415"/>
      <c r="BD18" s="415"/>
      <c r="BE18" s="415"/>
      <c r="BF18" s="413"/>
      <c r="BG18" s="421"/>
      <c r="BH18" s="402"/>
      <c r="BI18" s="413"/>
      <c r="BJ18" s="414" t="s">
        <v>561</v>
      </c>
      <c r="BK18" s="404" t="s">
        <v>551</v>
      </c>
      <c r="BL18" s="400" t="s">
        <v>325</v>
      </c>
      <c r="BM18" s="401" t="s">
        <v>326</v>
      </c>
      <c r="BN18" s="401" t="s">
        <v>326</v>
      </c>
      <c r="BO18" s="401" t="s">
        <v>327</v>
      </c>
      <c r="BP18" s="404" t="s">
        <v>328</v>
      </c>
      <c r="BQ18" s="402"/>
      <c r="BR18" s="415" t="s">
        <v>532</v>
      </c>
      <c r="BS18" s="413"/>
      <c r="BT18" s="401" t="s">
        <v>463</v>
      </c>
      <c r="BU18" s="401" t="s">
        <v>551</v>
      </c>
      <c r="BV18" s="400" t="s">
        <v>459</v>
      </c>
      <c r="BW18" s="401" t="s">
        <v>440</v>
      </c>
      <c r="BX18" s="401" t="s">
        <v>421</v>
      </c>
      <c r="BY18" s="401" t="s">
        <v>468</v>
      </c>
      <c r="BZ18" s="404" t="s">
        <v>451</v>
      </c>
      <c r="CA18" s="400" t="s">
        <v>325</v>
      </c>
      <c r="CB18" s="401" t="s">
        <v>326</v>
      </c>
      <c r="CC18" s="401" t="s">
        <v>325</v>
      </c>
      <c r="CD18" s="401" t="s">
        <v>328</v>
      </c>
      <c r="CE18" s="401" t="s">
        <v>327</v>
      </c>
      <c r="CF18" s="400" t="s">
        <v>323</v>
      </c>
      <c r="CG18" s="401" t="s">
        <v>323</v>
      </c>
      <c r="CH18" s="404" t="s">
        <v>387</v>
      </c>
      <c r="CI18" s="413"/>
      <c r="CJ18" s="402" t="s">
        <v>330</v>
      </c>
      <c r="CK18" s="401" t="s">
        <v>324</v>
      </c>
    </row>
    <row r="19" spans="1:89" ht="9">
      <c r="A19" s="394" t="s">
        <v>339</v>
      </c>
      <c r="B19" s="398" t="s">
        <v>466</v>
      </c>
      <c r="C19" s="400" t="s">
        <v>467</v>
      </c>
      <c r="D19" s="401" t="s">
        <v>467</v>
      </c>
      <c r="E19" s="401" t="s">
        <v>468</v>
      </c>
      <c r="F19" s="401" t="s">
        <v>469</v>
      </c>
      <c r="G19" s="401" t="s">
        <v>441</v>
      </c>
      <c r="H19" s="401" t="s">
        <v>425</v>
      </c>
      <c r="I19" s="401" t="s">
        <v>431</v>
      </c>
      <c r="J19" s="401" t="s">
        <v>464</v>
      </c>
      <c r="K19" s="402" t="s">
        <v>429</v>
      </c>
      <c r="L19" s="403" t="s">
        <v>642</v>
      </c>
      <c r="M19" s="402" t="s">
        <v>429</v>
      </c>
      <c r="N19" s="401" t="s">
        <v>467</v>
      </c>
      <c r="O19" s="401" t="s">
        <v>445</v>
      </c>
      <c r="P19" s="401" t="s">
        <v>447</v>
      </c>
      <c r="Q19" s="401" t="s">
        <v>447</v>
      </c>
      <c r="R19" s="401" t="s">
        <v>423</v>
      </c>
      <c r="S19" s="401" t="s">
        <v>442</v>
      </c>
      <c r="T19" s="401" t="s">
        <v>487</v>
      </c>
      <c r="U19" s="399" t="s">
        <v>643</v>
      </c>
      <c r="V19" s="401" t="s">
        <v>426</v>
      </c>
      <c r="W19" s="404" t="s">
        <v>439</v>
      </c>
      <c r="X19" s="400"/>
      <c r="Y19" s="401"/>
      <c r="Z19" s="401"/>
      <c r="AA19" s="401"/>
      <c r="AB19" s="404"/>
      <c r="AC19" s="420" t="s">
        <v>565</v>
      </c>
      <c r="AD19" s="404" t="s">
        <v>530</v>
      </c>
      <c r="AE19" s="421">
        <v>6</v>
      </c>
      <c r="AF19" s="422">
        <v>5</v>
      </c>
      <c r="AG19" s="422">
        <v>5</v>
      </c>
      <c r="AH19" s="422">
        <v>5</v>
      </c>
      <c r="AI19" s="422">
        <v>4</v>
      </c>
      <c r="AJ19" s="422">
        <v>3</v>
      </c>
      <c r="AK19" s="422">
        <v>2</v>
      </c>
      <c r="AL19" s="422">
        <v>2</v>
      </c>
      <c r="AM19" s="423" t="s">
        <v>369</v>
      </c>
      <c r="AN19" s="421">
        <v>7</v>
      </c>
      <c r="AO19" s="422">
        <v>8</v>
      </c>
      <c r="AP19" s="422">
        <v>7</v>
      </c>
      <c r="AQ19" s="422">
        <v>10</v>
      </c>
      <c r="AR19" s="423">
        <v>6</v>
      </c>
      <c r="AS19" s="420" t="s">
        <v>560</v>
      </c>
      <c r="AT19" s="424" t="s">
        <v>361</v>
      </c>
      <c r="AU19" s="415" t="s">
        <v>327</v>
      </c>
      <c r="AV19" s="415" t="s">
        <v>326</v>
      </c>
      <c r="AW19" s="415" t="s">
        <v>325</v>
      </c>
      <c r="AX19" s="415" t="s">
        <v>324</v>
      </c>
      <c r="AY19" s="415" t="s">
        <v>324</v>
      </c>
      <c r="AZ19" s="415" t="s">
        <v>324</v>
      </c>
      <c r="BA19" s="413" t="s">
        <v>322</v>
      </c>
      <c r="BB19" s="425"/>
      <c r="BC19" s="415"/>
      <c r="BD19" s="415"/>
      <c r="BE19" s="415"/>
      <c r="BF19" s="413"/>
      <c r="BG19" s="421"/>
      <c r="BH19" s="402"/>
      <c r="BI19" s="413"/>
      <c r="BJ19" s="414" t="s">
        <v>562</v>
      </c>
      <c r="BK19" s="404" t="s">
        <v>551</v>
      </c>
      <c r="BL19" s="400" t="s">
        <v>325</v>
      </c>
      <c r="BM19" s="401" t="s">
        <v>325</v>
      </c>
      <c r="BN19" s="401" t="s">
        <v>326</v>
      </c>
      <c r="BO19" s="401" t="s">
        <v>326</v>
      </c>
      <c r="BP19" s="404" t="s">
        <v>327</v>
      </c>
      <c r="BQ19" s="402"/>
      <c r="BR19" s="415"/>
      <c r="BS19" s="413"/>
      <c r="BT19" s="401" t="s">
        <v>466</v>
      </c>
      <c r="BU19" s="401" t="s">
        <v>551</v>
      </c>
      <c r="BV19" s="400" t="s">
        <v>441</v>
      </c>
      <c r="BW19" s="401" t="s">
        <v>425</v>
      </c>
      <c r="BX19" s="401" t="s">
        <v>431</v>
      </c>
      <c r="BY19" s="401" t="s">
        <v>471</v>
      </c>
      <c r="BZ19" s="404" t="s">
        <v>449</v>
      </c>
      <c r="CA19" s="400" t="s">
        <v>325</v>
      </c>
      <c r="CB19" s="401" t="s">
        <v>326</v>
      </c>
      <c r="CC19" s="401" t="s">
        <v>325</v>
      </c>
      <c r="CD19" s="401" t="s">
        <v>328</v>
      </c>
      <c r="CE19" s="401" t="s">
        <v>327</v>
      </c>
      <c r="CF19" s="400" t="s">
        <v>323</v>
      </c>
      <c r="CG19" s="401" t="s">
        <v>323</v>
      </c>
      <c r="CH19" s="404" t="s">
        <v>322</v>
      </c>
      <c r="CI19" s="413" t="s">
        <v>696</v>
      </c>
      <c r="CJ19" s="402" t="s">
        <v>330</v>
      </c>
      <c r="CK19" s="401" t="s">
        <v>324</v>
      </c>
    </row>
    <row r="20" spans="1:89" ht="9">
      <c r="A20" s="394" t="s">
        <v>340</v>
      </c>
      <c r="B20" s="398" t="s">
        <v>470</v>
      </c>
      <c r="C20" s="400" t="s">
        <v>394</v>
      </c>
      <c r="D20" s="401" t="s">
        <v>397</v>
      </c>
      <c r="E20" s="401" t="s">
        <v>471</v>
      </c>
      <c r="F20" s="401" t="s">
        <v>472</v>
      </c>
      <c r="G20" s="401" t="s">
        <v>445</v>
      </c>
      <c r="H20" s="401" t="s">
        <v>450</v>
      </c>
      <c r="I20" s="401" t="s">
        <v>442</v>
      </c>
      <c r="J20" s="401" t="s">
        <v>473</v>
      </c>
      <c r="K20" s="402" t="s">
        <v>429</v>
      </c>
      <c r="L20" s="403" t="s">
        <v>563</v>
      </c>
      <c r="M20" s="402" t="s">
        <v>429</v>
      </c>
      <c r="N20" s="401" t="s">
        <v>394</v>
      </c>
      <c r="O20" s="401" t="s">
        <v>368</v>
      </c>
      <c r="P20" s="401" t="s">
        <v>447</v>
      </c>
      <c r="Q20" s="401" t="s">
        <v>447</v>
      </c>
      <c r="R20" s="401" t="s">
        <v>365</v>
      </c>
      <c r="S20" s="401" t="s">
        <v>447</v>
      </c>
      <c r="T20" s="401" t="s">
        <v>490</v>
      </c>
      <c r="U20" s="399" t="s">
        <v>644</v>
      </c>
      <c r="V20" s="401" t="s">
        <v>452</v>
      </c>
      <c r="W20" s="404" t="s">
        <v>439</v>
      </c>
      <c r="X20" s="400"/>
      <c r="Y20" s="401"/>
      <c r="Z20" s="401"/>
      <c r="AA20" s="401"/>
      <c r="AB20" s="404"/>
      <c r="AC20" s="420" t="s">
        <v>721</v>
      </c>
      <c r="AD20" s="404" t="s">
        <v>530</v>
      </c>
      <c r="AE20" s="421">
        <v>6</v>
      </c>
      <c r="AF20" s="422">
        <v>5</v>
      </c>
      <c r="AG20" s="422">
        <v>5</v>
      </c>
      <c r="AH20" s="422">
        <v>5</v>
      </c>
      <c r="AI20" s="422">
        <v>4</v>
      </c>
      <c r="AJ20" s="422">
        <v>4</v>
      </c>
      <c r="AK20" s="422">
        <v>3</v>
      </c>
      <c r="AL20" s="422">
        <v>2</v>
      </c>
      <c r="AM20" s="423" t="s">
        <v>369</v>
      </c>
      <c r="AN20" s="421">
        <v>7</v>
      </c>
      <c r="AO20" s="422">
        <v>8</v>
      </c>
      <c r="AP20" s="422">
        <v>7</v>
      </c>
      <c r="AQ20" s="422">
        <v>10</v>
      </c>
      <c r="AR20" s="423">
        <v>6</v>
      </c>
      <c r="AS20" s="420" t="s">
        <v>756</v>
      </c>
      <c r="AT20" s="424" t="s">
        <v>361</v>
      </c>
      <c r="AU20" s="415" t="s">
        <v>327</v>
      </c>
      <c r="AV20" s="415" t="s">
        <v>326</v>
      </c>
      <c r="AW20" s="415" t="s">
        <v>325</v>
      </c>
      <c r="AX20" s="415" t="s">
        <v>324</v>
      </c>
      <c r="AY20" s="415" t="s">
        <v>324</v>
      </c>
      <c r="AZ20" s="415" t="s">
        <v>324</v>
      </c>
      <c r="BA20" s="413" t="s">
        <v>323</v>
      </c>
      <c r="BB20" s="425"/>
      <c r="BC20" s="415"/>
      <c r="BD20" s="415"/>
      <c r="BE20" s="415"/>
      <c r="BF20" s="413"/>
      <c r="BG20" s="421"/>
      <c r="BH20" s="402"/>
      <c r="BI20" s="413"/>
      <c r="BJ20" s="414" t="s">
        <v>563</v>
      </c>
      <c r="BK20" s="404" t="s">
        <v>551</v>
      </c>
      <c r="BL20" s="400" t="s">
        <v>325</v>
      </c>
      <c r="BM20" s="401" t="s">
        <v>325</v>
      </c>
      <c r="BN20" s="401" t="s">
        <v>326</v>
      </c>
      <c r="BO20" s="401" t="s">
        <v>326</v>
      </c>
      <c r="BP20" s="404" t="s">
        <v>327</v>
      </c>
      <c r="BQ20" s="402"/>
      <c r="BS20" s="413"/>
      <c r="BT20" s="401" t="s">
        <v>470</v>
      </c>
      <c r="BU20" s="401" t="s">
        <v>551</v>
      </c>
      <c r="BV20" s="400" t="s">
        <v>445</v>
      </c>
      <c r="BW20" s="401" t="s">
        <v>450</v>
      </c>
      <c r="BX20" s="401" t="s">
        <v>442</v>
      </c>
      <c r="BY20" s="401" t="s">
        <v>449</v>
      </c>
      <c r="BZ20" s="404" t="s">
        <v>467</v>
      </c>
      <c r="CA20" s="400" t="s">
        <v>325</v>
      </c>
      <c r="CB20" s="401" t="s">
        <v>326</v>
      </c>
      <c r="CC20" s="401" t="s">
        <v>325</v>
      </c>
      <c r="CD20" s="401" t="s">
        <v>328</v>
      </c>
      <c r="CE20" s="401" t="s">
        <v>327</v>
      </c>
      <c r="CF20" s="400" t="s">
        <v>323</v>
      </c>
      <c r="CG20" s="401" t="s">
        <v>323</v>
      </c>
      <c r="CH20" s="404" t="s">
        <v>322</v>
      </c>
      <c r="CI20" s="413"/>
      <c r="CJ20" s="402" t="s">
        <v>331</v>
      </c>
      <c r="CK20" s="401" t="s">
        <v>697</v>
      </c>
    </row>
    <row r="21" spans="1:89" ht="9">
      <c r="A21" s="394" t="s">
        <v>341</v>
      </c>
      <c r="B21" s="398" t="s">
        <v>474</v>
      </c>
      <c r="C21" s="400" t="s">
        <v>401</v>
      </c>
      <c r="D21" s="401" t="s">
        <v>409</v>
      </c>
      <c r="E21" s="401" t="s">
        <v>449</v>
      </c>
      <c r="F21" s="401" t="s">
        <v>475</v>
      </c>
      <c r="G21" s="401" t="s">
        <v>471</v>
      </c>
      <c r="H21" s="401" t="s">
        <v>430</v>
      </c>
      <c r="I21" s="401" t="s">
        <v>452</v>
      </c>
      <c r="J21" s="401" t="s">
        <v>476</v>
      </c>
      <c r="K21" s="402" t="s">
        <v>429</v>
      </c>
      <c r="L21" s="403" t="s">
        <v>645</v>
      </c>
      <c r="M21" s="402" t="s">
        <v>429</v>
      </c>
      <c r="N21" s="401" t="s">
        <v>401</v>
      </c>
      <c r="O21" s="401" t="s">
        <v>467</v>
      </c>
      <c r="P21" s="401" t="s">
        <v>447</v>
      </c>
      <c r="Q21" s="401" t="s">
        <v>447</v>
      </c>
      <c r="R21" s="401" t="s">
        <v>430</v>
      </c>
      <c r="S21" s="401" t="s">
        <v>447</v>
      </c>
      <c r="T21" s="401" t="s">
        <v>493</v>
      </c>
      <c r="U21" s="399" t="s">
        <v>646</v>
      </c>
      <c r="V21" s="401" t="s">
        <v>452</v>
      </c>
      <c r="W21" s="404" t="s">
        <v>439</v>
      </c>
      <c r="X21" s="400" t="s">
        <v>324</v>
      </c>
      <c r="Y21" s="401" t="s">
        <v>325</v>
      </c>
      <c r="Z21" s="401" t="s">
        <v>324</v>
      </c>
      <c r="AA21" s="401" t="s">
        <v>326</v>
      </c>
      <c r="AB21" s="404" t="s">
        <v>325</v>
      </c>
      <c r="AC21" s="420" t="s">
        <v>722</v>
      </c>
      <c r="AD21" s="404" t="s">
        <v>530</v>
      </c>
      <c r="AE21" s="421">
        <v>6</v>
      </c>
      <c r="AF21" s="422">
        <v>5</v>
      </c>
      <c r="AG21" s="422">
        <v>5</v>
      </c>
      <c r="AH21" s="422">
        <v>5</v>
      </c>
      <c r="AI21" s="422">
        <v>4</v>
      </c>
      <c r="AJ21" s="422">
        <v>4</v>
      </c>
      <c r="AK21" s="422">
        <v>3</v>
      </c>
      <c r="AL21" s="422">
        <v>2</v>
      </c>
      <c r="AM21" s="423">
        <v>1</v>
      </c>
      <c r="AN21" s="421">
        <v>5</v>
      </c>
      <c r="AO21" s="422">
        <v>6</v>
      </c>
      <c r="AP21" s="422">
        <v>5</v>
      </c>
      <c r="AQ21" s="422">
        <v>8</v>
      </c>
      <c r="AR21" s="423">
        <v>4</v>
      </c>
      <c r="AS21" s="420" t="s">
        <v>757</v>
      </c>
      <c r="AT21" s="424" t="s">
        <v>361</v>
      </c>
      <c r="AU21" s="415" t="s">
        <v>327</v>
      </c>
      <c r="AV21" s="415" t="s">
        <v>326</v>
      </c>
      <c r="AW21" s="415" t="s">
        <v>325</v>
      </c>
      <c r="AX21" s="415" t="s">
        <v>325</v>
      </c>
      <c r="AY21" s="415" t="s">
        <v>325</v>
      </c>
      <c r="AZ21" s="415" t="s">
        <v>324</v>
      </c>
      <c r="BA21" s="413" t="s">
        <v>323</v>
      </c>
      <c r="BB21" s="425" t="s">
        <v>324</v>
      </c>
      <c r="BC21" s="415" t="s">
        <v>325</v>
      </c>
      <c r="BD21" s="415" t="s">
        <v>325</v>
      </c>
      <c r="BE21" s="415" t="s">
        <v>326</v>
      </c>
      <c r="BF21" s="413" t="s">
        <v>325</v>
      </c>
      <c r="BG21" s="421" t="s">
        <v>360</v>
      </c>
      <c r="BH21" s="402"/>
      <c r="BI21" s="413"/>
      <c r="BJ21" s="414" t="s">
        <v>564</v>
      </c>
      <c r="BK21" s="404" t="s">
        <v>551</v>
      </c>
      <c r="BL21" s="400" t="s">
        <v>325</v>
      </c>
      <c r="BM21" s="401" t="s">
        <v>325</v>
      </c>
      <c r="BN21" s="401" t="s">
        <v>326</v>
      </c>
      <c r="BO21" s="401" t="s">
        <v>326</v>
      </c>
      <c r="BP21" s="404" t="s">
        <v>327</v>
      </c>
      <c r="BQ21" s="402"/>
      <c r="BR21" s="415" t="s">
        <v>533</v>
      </c>
      <c r="BS21" s="413"/>
      <c r="BT21" s="401" t="s">
        <v>474</v>
      </c>
      <c r="BU21" s="401" t="s">
        <v>551</v>
      </c>
      <c r="BV21" s="400" t="s">
        <v>471</v>
      </c>
      <c r="BW21" s="401" t="s">
        <v>430</v>
      </c>
      <c r="BX21" s="401" t="s">
        <v>452</v>
      </c>
      <c r="BY21" s="401" t="s">
        <v>389</v>
      </c>
      <c r="BZ21" s="404" t="s">
        <v>389</v>
      </c>
      <c r="CA21" s="400" t="s">
        <v>324</v>
      </c>
      <c r="CB21" s="401" t="s">
        <v>325</v>
      </c>
      <c r="CC21" s="401" t="s">
        <v>324</v>
      </c>
      <c r="CD21" s="401" t="s">
        <v>326</v>
      </c>
      <c r="CE21" s="401" t="s">
        <v>325</v>
      </c>
      <c r="CF21" s="400" t="s">
        <v>323</v>
      </c>
      <c r="CG21" s="401" t="s">
        <v>323</v>
      </c>
      <c r="CH21" s="404" t="s">
        <v>323</v>
      </c>
      <c r="CI21" s="413"/>
      <c r="CJ21" s="402" t="s">
        <v>331</v>
      </c>
      <c r="CK21" s="401" t="s">
        <v>324</v>
      </c>
    </row>
    <row r="22" spans="1:89" ht="9">
      <c r="A22" s="394" t="s">
        <v>342</v>
      </c>
      <c r="B22" s="398" t="s">
        <v>477</v>
      </c>
      <c r="C22" s="400" t="s">
        <v>409</v>
      </c>
      <c r="D22" s="401" t="s">
        <v>421</v>
      </c>
      <c r="E22" s="401" t="s">
        <v>394</v>
      </c>
      <c r="F22" s="401" t="s">
        <v>478</v>
      </c>
      <c r="G22" s="401" t="s">
        <v>451</v>
      </c>
      <c r="H22" s="401" t="s">
        <v>366</v>
      </c>
      <c r="I22" s="401" t="s">
        <v>460</v>
      </c>
      <c r="J22" s="401" t="s">
        <v>479</v>
      </c>
      <c r="K22" s="402" t="s">
        <v>429</v>
      </c>
      <c r="L22" s="403" t="s">
        <v>647</v>
      </c>
      <c r="M22" s="402" t="s">
        <v>429</v>
      </c>
      <c r="N22" s="401" t="s">
        <v>409</v>
      </c>
      <c r="O22" s="401" t="s">
        <v>397</v>
      </c>
      <c r="P22" s="401" t="s">
        <v>447</v>
      </c>
      <c r="Q22" s="401" t="s">
        <v>447</v>
      </c>
      <c r="R22" s="401" t="s">
        <v>439</v>
      </c>
      <c r="S22" s="401" t="s">
        <v>447</v>
      </c>
      <c r="T22" s="401" t="s">
        <v>496</v>
      </c>
      <c r="U22" s="399" t="s">
        <v>648</v>
      </c>
      <c r="V22" s="401" t="s">
        <v>452</v>
      </c>
      <c r="W22" s="404" t="s">
        <v>439</v>
      </c>
      <c r="X22" s="400"/>
      <c r="Y22" s="401"/>
      <c r="Z22" s="401"/>
      <c r="AA22" s="401"/>
      <c r="AB22" s="404"/>
      <c r="AC22" s="420" t="s">
        <v>723</v>
      </c>
      <c r="AD22" s="404" t="s">
        <v>530</v>
      </c>
      <c r="AE22" s="421">
        <v>6</v>
      </c>
      <c r="AF22" s="422">
        <v>6</v>
      </c>
      <c r="AG22" s="422">
        <v>5</v>
      </c>
      <c r="AH22" s="422">
        <v>5</v>
      </c>
      <c r="AI22" s="422">
        <v>5</v>
      </c>
      <c r="AJ22" s="422">
        <v>4</v>
      </c>
      <c r="AK22" s="422">
        <v>3</v>
      </c>
      <c r="AL22" s="422">
        <v>2</v>
      </c>
      <c r="AM22" s="423">
        <v>2</v>
      </c>
      <c r="AN22" s="421">
        <v>5</v>
      </c>
      <c r="AO22" s="422">
        <v>6</v>
      </c>
      <c r="AP22" s="422">
        <v>5</v>
      </c>
      <c r="AQ22" s="422">
        <v>8</v>
      </c>
      <c r="AR22" s="423">
        <v>4</v>
      </c>
      <c r="AS22" s="420" t="s">
        <v>719</v>
      </c>
      <c r="AT22" s="424" t="s">
        <v>361</v>
      </c>
      <c r="AU22" s="415" t="s">
        <v>327</v>
      </c>
      <c r="AV22" s="415" t="s">
        <v>326</v>
      </c>
      <c r="AW22" s="415" t="s">
        <v>325</v>
      </c>
      <c r="AX22" s="415" t="s">
        <v>325</v>
      </c>
      <c r="AY22" s="415" t="s">
        <v>325</v>
      </c>
      <c r="AZ22" s="415" t="s">
        <v>324</v>
      </c>
      <c r="BA22" s="413" t="s">
        <v>324</v>
      </c>
      <c r="BB22" s="425"/>
      <c r="BC22" s="415"/>
      <c r="BD22" s="415"/>
      <c r="BE22" s="415"/>
      <c r="BF22" s="413"/>
      <c r="BG22" s="421"/>
      <c r="BH22" s="402"/>
      <c r="BI22" s="413"/>
      <c r="BJ22" s="414" t="s">
        <v>565</v>
      </c>
      <c r="BK22" s="404" t="s">
        <v>551</v>
      </c>
      <c r="BL22" s="400" t="s">
        <v>324</v>
      </c>
      <c r="BM22" s="401" t="s">
        <v>325</v>
      </c>
      <c r="BN22" s="401" t="s">
        <v>325</v>
      </c>
      <c r="BO22" s="401" t="s">
        <v>325</v>
      </c>
      <c r="BP22" s="404" t="s">
        <v>326</v>
      </c>
      <c r="BQ22" s="402"/>
      <c r="BR22" s="415"/>
      <c r="BS22" s="413"/>
      <c r="BT22" s="401" t="s">
        <v>477</v>
      </c>
      <c r="BU22" s="401" t="s">
        <v>551</v>
      </c>
      <c r="BV22" s="400" t="s">
        <v>451</v>
      </c>
      <c r="BW22" s="401" t="s">
        <v>366</v>
      </c>
      <c r="BX22" s="401" t="s">
        <v>460</v>
      </c>
      <c r="BY22" s="401" t="s">
        <v>397</v>
      </c>
      <c r="BZ22" s="404" t="s">
        <v>394</v>
      </c>
      <c r="CA22" s="400" t="s">
        <v>324</v>
      </c>
      <c r="CB22" s="401" t="s">
        <v>325</v>
      </c>
      <c r="CC22" s="401" t="s">
        <v>324</v>
      </c>
      <c r="CD22" s="401" t="s">
        <v>326</v>
      </c>
      <c r="CE22" s="401" t="s">
        <v>325</v>
      </c>
      <c r="CF22" s="400" t="s">
        <v>323</v>
      </c>
      <c r="CG22" s="401" t="s">
        <v>323</v>
      </c>
      <c r="CH22" s="404" t="s">
        <v>323</v>
      </c>
      <c r="CI22" s="413"/>
      <c r="CJ22" s="402" t="s">
        <v>332</v>
      </c>
      <c r="CK22" s="401" t="s">
        <v>324</v>
      </c>
    </row>
    <row r="23" spans="1:89" ht="9">
      <c r="A23" s="394" t="s">
        <v>343</v>
      </c>
      <c r="B23" s="398" t="s">
        <v>480</v>
      </c>
      <c r="C23" s="400" t="s">
        <v>421</v>
      </c>
      <c r="D23" s="401" t="s">
        <v>431</v>
      </c>
      <c r="E23" s="401" t="s">
        <v>404</v>
      </c>
      <c r="F23" s="401" t="s">
        <v>481</v>
      </c>
      <c r="G23" s="401" t="s">
        <v>467</v>
      </c>
      <c r="H23" s="401" t="s">
        <v>435</v>
      </c>
      <c r="I23" s="401" t="s">
        <v>465</v>
      </c>
      <c r="J23" s="401" t="s">
        <v>482</v>
      </c>
      <c r="K23" s="402" t="s">
        <v>429</v>
      </c>
      <c r="L23" s="403" t="s">
        <v>649</v>
      </c>
      <c r="M23" s="402" t="s">
        <v>429</v>
      </c>
      <c r="N23" s="401" t="s">
        <v>421</v>
      </c>
      <c r="O23" s="401" t="s">
        <v>409</v>
      </c>
      <c r="P23" s="401" t="s">
        <v>447</v>
      </c>
      <c r="Q23" s="401" t="s">
        <v>447</v>
      </c>
      <c r="R23" s="401" t="s">
        <v>445</v>
      </c>
      <c r="S23" s="401" t="s">
        <v>447</v>
      </c>
      <c r="T23" s="401" t="s">
        <v>499</v>
      </c>
      <c r="U23" s="399" t="s">
        <v>650</v>
      </c>
      <c r="V23" s="401" t="s">
        <v>452</v>
      </c>
      <c r="W23" s="404" t="s">
        <v>439</v>
      </c>
      <c r="X23" s="400"/>
      <c r="Y23" s="401"/>
      <c r="Z23" s="401"/>
      <c r="AA23" s="401"/>
      <c r="AB23" s="404"/>
      <c r="AC23" s="420" t="s">
        <v>724</v>
      </c>
      <c r="AD23" s="404" t="s">
        <v>530</v>
      </c>
      <c r="AE23" s="421">
        <v>6</v>
      </c>
      <c r="AF23" s="422">
        <v>6</v>
      </c>
      <c r="AG23" s="422">
        <v>6</v>
      </c>
      <c r="AH23" s="422">
        <v>6</v>
      </c>
      <c r="AI23" s="422">
        <v>5</v>
      </c>
      <c r="AJ23" s="422">
        <v>4</v>
      </c>
      <c r="AK23" s="422">
        <v>3</v>
      </c>
      <c r="AL23" s="422">
        <v>3</v>
      </c>
      <c r="AM23" s="423">
        <v>2</v>
      </c>
      <c r="AN23" s="421">
        <v>5</v>
      </c>
      <c r="AO23" s="422">
        <v>6</v>
      </c>
      <c r="AP23" s="422">
        <v>5</v>
      </c>
      <c r="AQ23" s="422">
        <v>8</v>
      </c>
      <c r="AR23" s="423">
        <v>4</v>
      </c>
      <c r="AS23" s="420" t="s">
        <v>474</v>
      </c>
      <c r="AT23" s="424" t="s">
        <v>361</v>
      </c>
      <c r="AU23" s="415" t="s">
        <v>327</v>
      </c>
      <c r="AV23" s="415" t="s">
        <v>327</v>
      </c>
      <c r="AW23" s="415" t="s">
        <v>326</v>
      </c>
      <c r="AX23" s="415" t="s">
        <v>326</v>
      </c>
      <c r="AY23" s="415" t="s">
        <v>325</v>
      </c>
      <c r="AZ23" s="415" t="s">
        <v>324</v>
      </c>
      <c r="BA23" s="413" t="s">
        <v>324</v>
      </c>
      <c r="BB23" s="425"/>
      <c r="BC23" s="415"/>
      <c r="BD23" s="415"/>
      <c r="BE23" s="415"/>
      <c r="BF23" s="413"/>
      <c r="BG23" s="421"/>
      <c r="BH23" s="402" t="s">
        <v>483</v>
      </c>
      <c r="BI23" s="413"/>
      <c r="BJ23" s="414" t="s">
        <v>566</v>
      </c>
      <c r="BK23" s="404" t="s">
        <v>551</v>
      </c>
      <c r="BL23" s="400" t="s">
        <v>324</v>
      </c>
      <c r="BM23" s="401" t="s">
        <v>325</v>
      </c>
      <c r="BN23" s="401" t="s">
        <v>325</v>
      </c>
      <c r="BO23" s="401" t="s">
        <v>325</v>
      </c>
      <c r="BP23" s="404" t="s">
        <v>326</v>
      </c>
      <c r="BQ23" s="402"/>
      <c r="BR23" s="415"/>
      <c r="BS23" s="413"/>
      <c r="BT23" s="401" t="s">
        <v>480</v>
      </c>
      <c r="BU23" s="401" t="s">
        <v>551</v>
      </c>
      <c r="BV23" s="400" t="s">
        <v>467</v>
      </c>
      <c r="BW23" s="401" t="s">
        <v>435</v>
      </c>
      <c r="BX23" s="401" t="s">
        <v>465</v>
      </c>
      <c r="BY23" s="401" t="s">
        <v>404</v>
      </c>
      <c r="BZ23" s="404" t="s">
        <v>397</v>
      </c>
      <c r="CA23" s="400" t="s">
        <v>324</v>
      </c>
      <c r="CB23" s="401" t="s">
        <v>325</v>
      </c>
      <c r="CC23" s="401" t="s">
        <v>324</v>
      </c>
      <c r="CD23" s="401" t="s">
        <v>326</v>
      </c>
      <c r="CE23" s="401" t="s">
        <v>325</v>
      </c>
      <c r="CF23" s="400" t="s">
        <v>323</v>
      </c>
      <c r="CG23" s="401" t="s">
        <v>323</v>
      </c>
      <c r="CH23" s="404" t="s">
        <v>323</v>
      </c>
      <c r="CI23" s="413"/>
      <c r="CJ23" s="402" t="s">
        <v>332</v>
      </c>
      <c r="CK23" s="401" t="s">
        <v>324</v>
      </c>
    </row>
    <row r="24" spans="1:89" ht="9">
      <c r="A24" s="394" t="s">
        <v>344</v>
      </c>
      <c r="B24" s="398" t="s">
        <v>484</v>
      </c>
      <c r="C24" s="400" t="s">
        <v>431</v>
      </c>
      <c r="D24" s="401" t="s">
        <v>442</v>
      </c>
      <c r="E24" s="401" t="s">
        <v>421</v>
      </c>
      <c r="F24" s="401" t="s">
        <v>485</v>
      </c>
      <c r="G24" s="401" t="s">
        <v>394</v>
      </c>
      <c r="H24" s="401" t="s">
        <v>459</v>
      </c>
      <c r="I24" s="401" t="s">
        <v>473</v>
      </c>
      <c r="J24" s="401" t="s">
        <v>469</v>
      </c>
      <c r="K24" s="402" t="s">
        <v>429</v>
      </c>
      <c r="L24" s="403" t="s">
        <v>651</v>
      </c>
      <c r="M24" s="402" t="s">
        <v>429</v>
      </c>
      <c r="N24" s="401" t="s">
        <v>431</v>
      </c>
      <c r="O24" s="401" t="s">
        <v>421</v>
      </c>
      <c r="P24" s="401" t="s">
        <v>447</v>
      </c>
      <c r="Q24" s="401" t="s">
        <v>447</v>
      </c>
      <c r="R24" s="401" t="s">
        <v>449</v>
      </c>
      <c r="S24" s="401" t="s">
        <v>447</v>
      </c>
      <c r="T24" s="401" t="s">
        <v>502</v>
      </c>
      <c r="U24" s="399" t="s">
        <v>652</v>
      </c>
      <c r="V24" s="401" t="s">
        <v>452</v>
      </c>
      <c r="W24" s="404" t="s">
        <v>439</v>
      </c>
      <c r="X24" s="400"/>
      <c r="Y24" s="401"/>
      <c r="Z24" s="401"/>
      <c r="AA24" s="401"/>
      <c r="AB24" s="404"/>
      <c r="AC24" s="420" t="s">
        <v>725</v>
      </c>
      <c r="AD24" s="404" t="s">
        <v>530</v>
      </c>
      <c r="AE24" s="421">
        <v>7</v>
      </c>
      <c r="AF24" s="422">
        <v>7</v>
      </c>
      <c r="AG24" s="422">
        <v>6</v>
      </c>
      <c r="AH24" s="422">
        <v>6</v>
      </c>
      <c r="AI24" s="422">
        <v>5</v>
      </c>
      <c r="AJ24" s="422">
        <v>5</v>
      </c>
      <c r="AK24" s="422">
        <v>4</v>
      </c>
      <c r="AL24" s="422">
        <v>3</v>
      </c>
      <c r="AM24" s="423">
        <v>2</v>
      </c>
      <c r="AN24" s="421">
        <v>5</v>
      </c>
      <c r="AO24" s="422">
        <v>6</v>
      </c>
      <c r="AP24" s="422">
        <v>5</v>
      </c>
      <c r="AQ24" s="422">
        <v>8</v>
      </c>
      <c r="AR24" s="423">
        <v>4</v>
      </c>
      <c r="AS24" s="420" t="s">
        <v>645</v>
      </c>
      <c r="AT24" s="424" t="s">
        <v>361</v>
      </c>
      <c r="AU24" s="415" t="s">
        <v>328</v>
      </c>
      <c r="AV24" s="415" t="s">
        <v>327</v>
      </c>
      <c r="AW24" s="415" t="s">
        <v>326</v>
      </c>
      <c r="AX24" s="415" t="s">
        <v>326</v>
      </c>
      <c r="AY24" s="415" t="s">
        <v>325</v>
      </c>
      <c r="AZ24" s="415" t="s">
        <v>325</v>
      </c>
      <c r="BA24" s="413" t="s">
        <v>324</v>
      </c>
      <c r="BB24" s="425"/>
      <c r="BC24" s="415"/>
      <c r="BD24" s="415"/>
      <c r="BE24" s="415"/>
      <c r="BF24" s="413"/>
      <c r="BG24" s="421"/>
      <c r="BH24" s="402"/>
      <c r="BI24" s="413" t="s">
        <v>653</v>
      </c>
      <c r="BJ24" s="414" t="s">
        <v>567</v>
      </c>
      <c r="BK24" s="404" t="s">
        <v>551</v>
      </c>
      <c r="BL24" s="400" t="s">
        <v>324</v>
      </c>
      <c r="BM24" s="401" t="s">
        <v>325</v>
      </c>
      <c r="BN24" s="401" t="s">
        <v>325</v>
      </c>
      <c r="BO24" s="401" t="s">
        <v>325</v>
      </c>
      <c r="BP24" s="404" t="s">
        <v>326</v>
      </c>
      <c r="BQ24" s="402" t="s">
        <v>568</v>
      </c>
      <c r="BR24" s="415" t="s">
        <v>569</v>
      </c>
      <c r="BS24" s="413" t="s">
        <v>570</v>
      </c>
      <c r="BT24" s="401" t="s">
        <v>484</v>
      </c>
      <c r="BU24" s="401" t="s">
        <v>551</v>
      </c>
      <c r="BV24" s="400" t="s">
        <v>394</v>
      </c>
      <c r="BW24" s="401" t="s">
        <v>459</v>
      </c>
      <c r="BX24" s="401" t="s">
        <v>473</v>
      </c>
      <c r="BY24" s="401" t="s">
        <v>409</v>
      </c>
      <c r="BZ24" s="404" t="s">
        <v>401</v>
      </c>
      <c r="CA24" s="400" t="s">
        <v>324</v>
      </c>
      <c r="CB24" s="401" t="s">
        <v>325</v>
      </c>
      <c r="CC24" s="401" t="s">
        <v>324</v>
      </c>
      <c r="CD24" s="401" t="s">
        <v>326</v>
      </c>
      <c r="CE24" s="401" t="s">
        <v>325</v>
      </c>
      <c r="CF24" s="400" t="s">
        <v>324</v>
      </c>
      <c r="CG24" s="401" t="s">
        <v>323</v>
      </c>
      <c r="CH24" s="404" t="s">
        <v>323</v>
      </c>
      <c r="CI24" s="413"/>
      <c r="CJ24" s="402" t="s">
        <v>333</v>
      </c>
      <c r="CK24" s="401" t="s">
        <v>325</v>
      </c>
    </row>
    <row r="25" spans="1:89" ht="9">
      <c r="A25" s="394" t="s">
        <v>345</v>
      </c>
      <c r="B25" s="398" t="s">
        <v>486</v>
      </c>
      <c r="C25" s="400" t="s">
        <v>442</v>
      </c>
      <c r="D25" s="401" t="s">
        <v>447</v>
      </c>
      <c r="E25" s="401" t="s">
        <v>436</v>
      </c>
      <c r="F25" s="401" t="s">
        <v>487</v>
      </c>
      <c r="G25" s="401" t="s">
        <v>397</v>
      </c>
      <c r="H25" s="401" t="s">
        <v>441</v>
      </c>
      <c r="I25" s="401" t="s">
        <v>479</v>
      </c>
      <c r="J25" s="401" t="s">
        <v>488</v>
      </c>
      <c r="K25" s="402" t="s">
        <v>429</v>
      </c>
      <c r="L25" s="403" t="s">
        <v>572</v>
      </c>
      <c r="M25" s="402" t="s">
        <v>429</v>
      </c>
      <c r="N25" s="401" t="s">
        <v>442</v>
      </c>
      <c r="O25" s="401" t="s">
        <v>431</v>
      </c>
      <c r="P25" s="401" t="s">
        <v>447</v>
      </c>
      <c r="Q25" s="401" t="s">
        <v>447</v>
      </c>
      <c r="R25" s="401" t="s">
        <v>401</v>
      </c>
      <c r="S25" s="401" t="s">
        <v>447</v>
      </c>
      <c r="T25" s="401" t="s">
        <v>506</v>
      </c>
      <c r="U25" s="399" t="s">
        <v>654</v>
      </c>
      <c r="V25" s="401" t="s">
        <v>452</v>
      </c>
      <c r="W25" s="404" t="s">
        <v>439</v>
      </c>
      <c r="X25" s="400" t="s">
        <v>323</v>
      </c>
      <c r="Y25" s="401" t="s">
        <v>324</v>
      </c>
      <c r="Z25" s="401" t="s">
        <v>323</v>
      </c>
      <c r="AA25" s="401" t="s">
        <v>324</v>
      </c>
      <c r="AB25" s="404" t="s">
        <v>324</v>
      </c>
      <c r="AC25" s="420" t="s">
        <v>658</v>
      </c>
      <c r="AD25" s="404" t="s">
        <v>530</v>
      </c>
      <c r="AE25" s="421">
        <v>7</v>
      </c>
      <c r="AF25" s="422">
        <v>7</v>
      </c>
      <c r="AG25" s="422">
        <v>6</v>
      </c>
      <c r="AH25" s="422">
        <v>6</v>
      </c>
      <c r="AI25" s="422">
        <v>5</v>
      </c>
      <c r="AJ25" s="422">
        <v>5</v>
      </c>
      <c r="AK25" s="422">
        <v>4</v>
      </c>
      <c r="AL25" s="422">
        <v>4</v>
      </c>
      <c r="AM25" s="423">
        <v>3</v>
      </c>
      <c r="AN25" s="421">
        <v>4</v>
      </c>
      <c r="AO25" s="422">
        <v>4</v>
      </c>
      <c r="AP25" s="422">
        <v>4</v>
      </c>
      <c r="AQ25" s="422">
        <v>6</v>
      </c>
      <c r="AR25" s="423">
        <v>3</v>
      </c>
      <c r="AS25" s="420" t="s">
        <v>565</v>
      </c>
      <c r="AT25" s="424" t="s">
        <v>361</v>
      </c>
      <c r="AU25" s="415" t="s">
        <v>328</v>
      </c>
      <c r="AV25" s="415" t="s">
        <v>327</v>
      </c>
      <c r="AW25" s="415" t="s">
        <v>326</v>
      </c>
      <c r="AX25" s="415" t="s">
        <v>326</v>
      </c>
      <c r="AY25" s="415" t="s">
        <v>325</v>
      </c>
      <c r="AZ25" s="415" t="s">
        <v>325</v>
      </c>
      <c r="BA25" s="413" t="s">
        <v>325</v>
      </c>
      <c r="BB25" s="425" t="s">
        <v>323</v>
      </c>
      <c r="BC25" s="415" t="s">
        <v>324</v>
      </c>
      <c r="BD25" s="415" t="s">
        <v>324</v>
      </c>
      <c r="BE25" s="415" t="s">
        <v>324</v>
      </c>
      <c r="BF25" s="413" t="s">
        <v>324</v>
      </c>
      <c r="BG25" s="421" t="s">
        <v>360</v>
      </c>
      <c r="BH25" s="402"/>
      <c r="BI25" s="413"/>
      <c r="BJ25" s="414" t="s">
        <v>571</v>
      </c>
      <c r="BK25" s="404" t="s">
        <v>551</v>
      </c>
      <c r="BL25" s="400" t="s">
        <v>324</v>
      </c>
      <c r="BM25" s="401" t="s">
        <v>324</v>
      </c>
      <c r="BN25" s="401" t="s">
        <v>325</v>
      </c>
      <c r="BO25" s="401" t="s">
        <v>324</v>
      </c>
      <c r="BP25" s="404" t="s">
        <v>325</v>
      </c>
      <c r="BQ25" s="402"/>
      <c r="BR25" s="415"/>
      <c r="BS25" s="413"/>
      <c r="BT25" s="401" t="s">
        <v>486</v>
      </c>
      <c r="BU25" s="401" t="s">
        <v>551</v>
      </c>
      <c r="BV25" s="400" t="s">
        <v>397</v>
      </c>
      <c r="BW25" s="401" t="s">
        <v>441</v>
      </c>
      <c r="BX25" s="401" t="s">
        <v>479</v>
      </c>
      <c r="BY25" s="401" t="s">
        <v>414</v>
      </c>
      <c r="BZ25" s="404" t="s">
        <v>404</v>
      </c>
      <c r="CA25" s="400" t="s">
        <v>323</v>
      </c>
      <c r="CB25" s="401" t="s">
        <v>324</v>
      </c>
      <c r="CC25" s="401" t="s">
        <v>323</v>
      </c>
      <c r="CD25" s="401" t="s">
        <v>324</v>
      </c>
      <c r="CE25" s="401" t="s">
        <v>324</v>
      </c>
      <c r="CF25" s="400" t="s">
        <v>324</v>
      </c>
      <c r="CG25" s="401" t="s">
        <v>323</v>
      </c>
      <c r="CH25" s="404" t="s">
        <v>323</v>
      </c>
      <c r="CI25" s="413" t="s">
        <v>698</v>
      </c>
      <c r="CJ25" s="402" t="s">
        <v>333</v>
      </c>
      <c r="CK25" s="401" t="s">
        <v>325</v>
      </c>
    </row>
    <row r="26" spans="1:89" ht="9">
      <c r="A26" s="394" t="s">
        <v>346</v>
      </c>
      <c r="B26" s="398" t="s">
        <v>489</v>
      </c>
      <c r="C26" s="400" t="s">
        <v>452</v>
      </c>
      <c r="D26" s="401" t="s">
        <v>452</v>
      </c>
      <c r="E26" s="401" t="s">
        <v>452</v>
      </c>
      <c r="F26" s="401" t="s">
        <v>490</v>
      </c>
      <c r="G26" s="401" t="s">
        <v>401</v>
      </c>
      <c r="H26" s="401" t="s">
        <v>445</v>
      </c>
      <c r="I26" s="401" t="s">
        <v>469</v>
      </c>
      <c r="J26" s="401" t="s">
        <v>491</v>
      </c>
      <c r="K26" s="402" t="s">
        <v>429</v>
      </c>
      <c r="L26" s="403" t="s">
        <v>655</v>
      </c>
      <c r="M26" s="402" t="s">
        <v>429</v>
      </c>
      <c r="N26" s="401" t="s">
        <v>452</v>
      </c>
      <c r="O26" s="401" t="s">
        <v>442</v>
      </c>
      <c r="P26" s="401" t="s">
        <v>447</v>
      </c>
      <c r="Q26" s="401" t="s">
        <v>447</v>
      </c>
      <c r="R26" s="401" t="s">
        <v>426</v>
      </c>
      <c r="S26" s="401" t="s">
        <v>447</v>
      </c>
      <c r="T26" s="401" t="s">
        <v>509</v>
      </c>
      <c r="U26" s="399" t="s">
        <v>656</v>
      </c>
      <c r="V26" s="401" t="s">
        <v>452</v>
      </c>
      <c r="W26" s="404" t="s">
        <v>439</v>
      </c>
      <c r="X26" s="400"/>
      <c r="Y26" s="401"/>
      <c r="Z26" s="401"/>
      <c r="AA26" s="401"/>
      <c r="AB26" s="404"/>
      <c r="AC26" s="420" t="s">
        <v>726</v>
      </c>
      <c r="AD26" s="404" t="s">
        <v>530</v>
      </c>
      <c r="AE26" s="421">
        <v>7</v>
      </c>
      <c r="AF26" s="422">
        <v>7</v>
      </c>
      <c r="AG26" s="422">
        <v>7</v>
      </c>
      <c r="AH26" s="422">
        <v>6</v>
      </c>
      <c r="AI26" s="422">
        <v>6</v>
      </c>
      <c r="AJ26" s="422">
        <v>5</v>
      </c>
      <c r="AK26" s="422">
        <v>5</v>
      </c>
      <c r="AL26" s="422">
        <v>4</v>
      </c>
      <c r="AM26" s="423">
        <v>3</v>
      </c>
      <c r="AN26" s="421">
        <v>4</v>
      </c>
      <c r="AO26" s="422">
        <v>4</v>
      </c>
      <c r="AP26" s="422">
        <v>4</v>
      </c>
      <c r="AQ26" s="422">
        <v>6</v>
      </c>
      <c r="AR26" s="423">
        <v>3</v>
      </c>
      <c r="AS26" s="420" t="s">
        <v>758</v>
      </c>
      <c r="AT26" s="424" t="s">
        <v>361</v>
      </c>
      <c r="AU26" s="415" t="s">
        <v>328</v>
      </c>
      <c r="AV26" s="415" t="s">
        <v>327</v>
      </c>
      <c r="AW26" s="415" t="s">
        <v>327</v>
      </c>
      <c r="AX26" s="415" t="s">
        <v>326</v>
      </c>
      <c r="AY26" s="415" t="s">
        <v>326</v>
      </c>
      <c r="AZ26" s="415" t="s">
        <v>325</v>
      </c>
      <c r="BA26" s="413" t="s">
        <v>325</v>
      </c>
      <c r="BB26" s="425"/>
      <c r="BC26" s="415"/>
      <c r="BD26" s="415"/>
      <c r="BE26" s="415"/>
      <c r="BF26" s="413"/>
      <c r="BG26" s="421"/>
      <c r="BH26" s="402"/>
      <c r="BI26" s="413"/>
      <c r="BJ26" s="414" t="s">
        <v>572</v>
      </c>
      <c r="BK26" s="404" t="s">
        <v>551</v>
      </c>
      <c r="BL26" s="400" t="s">
        <v>324</v>
      </c>
      <c r="BM26" s="401" t="s">
        <v>324</v>
      </c>
      <c r="BN26" s="401" t="s">
        <v>325</v>
      </c>
      <c r="BO26" s="401" t="s">
        <v>324</v>
      </c>
      <c r="BP26" s="404" t="s">
        <v>325</v>
      </c>
      <c r="BQ26" s="402"/>
      <c r="BR26" s="415"/>
      <c r="BS26" s="413"/>
      <c r="BT26" s="401" t="s">
        <v>489</v>
      </c>
      <c r="BU26" s="401" t="s">
        <v>551</v>
      </c>
      <c r="BV26" s="400" t="s">
        <v>401</v>
      </c>
      <c r="BW26" s="401" t="s">
        <v>445</v>
      </c>
      <c r="BX26" s="401" t="s">
        <v>469</v>
      </c>
      <c r="BY26" s="401" t="s">
        <v>421</v>
      </c>
      <c r="BZ26" s="404" t="s">
        <v>409</v>
      </c>
      <c r="CA26" s="400" t="s">
        <v>323</v>
      </c>
      <c r="CB26" s="401" t="s">
        <v>324</v>
      </c>
      <c r="CC26" s="401" t="s">
        <v>323</v>
      </c>
      <c r="CD26" s="401" t="s">
        <v>324</v>
      </c>
      <c r="CE26" s="401" t="s">
        <v>324</v>
      </c>
      <c r="CF26" s="400" t="s">
        <v>324</v>
      </c>
      <c r="CG26" s="401" t="s">
        <v>323</v>
      </c>
      <c r="CH26" s="404" t="s">
        <v>323</v>
      </c>
      <c r="CI26" s="440" t="s">
        <v>699</v>
      </c>
      <c r="CJ26" s="402" t="s">
        <v>334</v>
      </c>
      <c r="CK26" s="401" t="s">
        <v>325</v>
      </c>
    </row>
    <row r="27" spans="1:89" ht="9">
      <c r="A27" s="394" t="s">
        <v>347</v>
      </c>
      <c r="B27" s="398" t="s">
        <v>492</v>
      </c>
      <c r="C27" s="400" t="s">
        <v>460</v>
      </c>
      <c r="D27" s="401" t="s">
        <v>456</v>
      </c>
      <c r="E27" s="401" t="s">
        <v>462</v>
      </c>
      <c r="F27" s="401" t="s">
        <v>493</v>
      </c>
      <c r="G27" s="401" t="s">
        <v>404</v>
      </c>
      <c r="H27" s="401" t="s">
        <v>471</v>
      </c>
      <c r="I27" s="401" t="s">
        <v>491</v>
      </c>
      <c r="J27" s="401" t="s">
        <v>494</v>
      </c>
      <c r="K27" s="402" t="s">
        <v>429</v>
      </c>
      <c r="L27" s="403" t="s">
        <v>498</v>
      </c>
      <c r="M27" s="402" t="s">
        <v>429</v>
      </c>
      <c r="N27" s="401" t="s">
        <v>460</v>
      </c>
      <c r="O27" s="401" t="s">
        <v>447</v>
      </c>
      <c r="P27" s="401" t="s">
        <v>447</v>
      </c>
      <c r="Q27" s="401" t="s">
        <v>447</v>
      </c>
      <c r="R27" s="401" t="s">
        <v>452</v>
      </c>
      <c r="S27" s="401" t="s">
        <v>447</v>
      </c>
      <c r="T27" s="401" t="s">
        <v>514</v>
      </c>
      <c r="U27" s="399" t="s">
        <v>657</v>
      </c>
      <c r="V27" s="401" t="s">
        <v>452</v>
      </c>
      <c r="W27" s="404" t="s">
        <v>439</v>
      </c>
      <c r="X27" s="400"/>
      <c r="Y27" s="401"/>
      <c r="Z27" s="401"/>
      <c r="AA27" s="401"/>
      <c r="AB27" s="404"/>
      <c r="AC27" s="420" t="s">
        <v>727</v>
      </c>
      <c r="AD27" s="404" t="s">
        <v>530</v>
      </c>
      <c r="AE27" s="421">
        <v>7</v>
      </c>
      <c r="AF27" s="422">
        <v>7</v>
      </c>
      <c r="AG27" s="422">
        <v>7</v>
      </c>
      <c r="AH27" s="422">
        <v>6</v>
      </c>
      <c r="AI27" s="422">
        <v>6</v>
      </c>
      <c r="AJ27" s="422">
        <v>5</v>
      </c>
      <c r="AK27" s="422">
        <v>5</v>
      </c>
      <c r="AL27" s="422">
        <v>5</v>
      </c>
      <c r="AM27" s="423">
        <v>4</v>
      </c>
      <c r="AN27" s="421">
        <v>4</v>
      </c>
      <c r="AO27" s="422">
        <v>4</v>
      </c>
      <c r="AP27" s="422">
        <v>4</v>
      </c>
      <c r="AQ27" s="422">
        <v>6</v>
      </c>
      <c r="AR27" s="423">
        <v>3</v>
      </c>
      <c r="AS27" s="420" t="s">
        <v>759</v>
      </c>
      <c r="AT27" s="424" t="s">
        <v>361</v>
      </c>
      <c r="AU27" s="415" t="s">
        <v>328</v>
      </c>
      <c r="AV27" s="415" t="s">
        <v>328</v>
      </c>
      <c r="AW27" s="415" t="s">
        <v>327</v>
      </c>
      <c r="AX27" s="415" t="s">
        <v>326</v>
      </c>
      <c r="AY27" s="415" t="s">
        <v>326</v>
      </c>
      <c r="AZ27" s="415" t="s">
        <v>326</v>
      </c>
      <c r="BA27" s="413" t="s">
        <v>325</v>
      </c>
      <c r="BB27" s="425"/>
      <c r="BC27" s="415"/>
      <c r="BD27" s="415"/>
      <c r="BE27" s="415"/>
      <c r="BF27" s="413"/>
      <c r="BG27" s="421"/>
      <c r="BH27" s="402"/>
      <c r="BI27" s="413"/>
      <c r="BJ27" s="414" t="s">
        <v>573</v>
      </c>
      <c r="BK27" s="404" t="s">
        <v>551</v>
      </c>
      <c r="BL27" s="400" t="s">
        <v>324</v>
      </c>
      <c r="BM27" s="401" t="s">
        <v>324</v>
      </c>
      <c r="BN27" s="401" t="s">
        <v>325</v>
      </c>
      <c r="BO27" s="401" t="s">
        <v>324</v>
      </c>
      <c r="BP27" s="404" t="s">
        <v>325</v>
      </c>
      <c r="BQ27" s="402"/>
      <c r="BR27" s="415" t="s">
        <v>574</v>
      </c>
      <c r="BS27" s="413"/>
      <c r="BT27" s="401" t="s">
        <v>492</v>
      </c>
      <c r="BU27" s="401" t="s">
        <v>551</v>
      </c>
      <c r="BV27" s="400" t="s">
        <v>404</v>
      </c>
      <c r="BW27" s="401" t="s">
        <v>471</v>
      </c>
      <c r="BX27" s="401" t="s">
        <v>491</v>
      </c>
      <c r="BY27" s="401" t="s">
        <v>426</v>
      </c>
      <c r="BZ27" s="404" t="s">
        <v>414</v>
      </c>
      <c r="CA27" s="400" t="s">
        <v>323</v>
      </c>
      <c r="CB27" s="401" t="s">
        <v>324</v>
      </c>
      <c r="CC27" s="401" t="s">
        <v>323</v>
      </c>
      <c r="CD27" s="401" t="s">
        <v>324</v>
      </c>
      <c r="CE27" s="401" t="s">
        <v>324</v>
      </c>
      <c r="CF27" s="400" t="s">
        <v>324</v>
      </c>
      <c r="CG27" s="401" t="s">
        <v>324</v>
      </c>
      <c r="CH27" s="404" t="s">
        <v>323</v>
      </c>
      <c r="CI27" s="440" t="s">
        <v>700</v>
      </c>
      <c r="CJ27" s="402" t="s">
        <v>334</v>
      </c>
      <c r="CK27" s="401" t="s">
        <v>325</v>
      </c>
    </row>
    <row r="28" spans="1:89" ht="9">
      <c r="A28" s="394" t="s">
        <v>348</v>
      </c>
      <c r="B28" s="398" t="s">
        <v>495</v>
      </c>
      <c r="C28" s="400" t="s">
        <v>465</v>
      </c>
      <c r="D28" s="401" t="s">
        <v>460</v>
      </c>
      <c r="E28" s="401" t="s">
        <v>473</v>
      </c>
      <c r="F28" s="401" t="s">
        <v>496</v>
      </c>
      <c r="G28" s="401" t="s">
        <v>409</v>
      </c>
      <c r="H28" s="401" t="s">
        <v>451</v>
      </c>
      <c r="I28" s="401" t="s">
        <v>497</v>
      </c>
      <c r="J28" s="401" t="s">
        <v>497</v>
      </c>
      <c r="K28" s="402" t="s">
        <v>429</v>
      </c>
      <c r="L28" s="403" t="s">
        <v>658</v>
      </c>
      <c r="M28" s="402" t="s">
        <v>429</v>
      </c>
      <c r="N28" s="401" t="s">
        <v>465</v>
      </c>
      <c r="O28" s="401" t="s">
        <v>452</v>
      </c>
      <c r="P28" s="401" t="s">
        <v>447</v>
      </c>
      <c r="Q28" s="401" t="s">
        <v>447</v>
      </c>
      <c r="R28" s="401" t="s">
        <v>464</v>
      </c>
      <c r="S28" s="401" t="s">
        <v>447</v>
      </c>
      <c r="T28" s="401" t="s">
        <v>517</v>
      </c>
      <c r="U28" s="399" t="s">
        <v>659</v>
      </c>
      <c r="V28" s="401" t="s">
        <v>452</v>
      </c>
      <c r="W28" s="404" t="s">
        <v>439</v>
      </c>
      <c r="X28" s="400"/>
      <c r="Y28" s="401"/>
      <c r="Z28" s="401"/>
      <c r="AA28" s="401"/>
      <c r="AB28" s="404"/>
      <c r="AC28" s="420" t="s">
        <v>728</v>
      </c>
      <c r="AD28" s="404" t="s">
        <v>530</v>
      </c>
      <c r="AE28" s="421">
        <v>8</v>
      </c>
      <c r="AF28" s="422">
        <v>8</v>
      </c>
      <c r="AG28" s="422">
        <v>7</v>
      </c>
      <c r="AH28" s="422">
        <v>6</v>
      </c>
      <c r="AI28" s="422">
        <v>6</v>
      </c>
      <c r="AJ28" s="422">
        <v>6</v>
      </c>
      <c r="AK28" s="422">
        <v>6</v>
      </c>
      <c r="AL28" s="422">
        <v>5</v>
      </c>
      <c r="AM28" s="423">
        <v>4</v>
      </c>
      <c r="AN28" s="421">
        <v>4</v>
      </c>
      <c r="AO28" s="422">
        <v>4</v>
      </c>
      <c r="AP28" s="422">
        <v>4</v>
      </c>
      <c r="AQ28" s="422">
        <v>6</v>
      </c>
      <c r="AR28" s="423">
        <v>3</v>
      </c>
      <c r="AS28" s="420" t="s">
        <v>722</v>
      </c>
      <c r="AT28" s="424" t="s">
        <v>361</v>
      </c>
      <c r="AU28" s="415" t="s">
        <v>328</v>
      </c>
      <c r="AV28" s="415" t="s">
        <v>328</v>
      </c>
      <c r="AW28" s="415" t="s">
        <v>327</v>
      </c>
      <c r="AX28" s="415" t="s">
        <v>327</v>
      </c>
      <c r="AY28" s="415" t="s">
        <v>327</v>
      </c>
      <c r="AZ28" s="415" t="s">
        <v>326</v>
      </c>
      <c r="BA28" s="413" t="s">
        <v>325</v>
      </c>
      <c r="BB28" s="425"/>
      <c r="BC28" s="415"/>
      <c r="BD28" s="415"/>
      <c r="BE28" s="415"/>
      <c r="BF28" s="413"/>
      <c r="BG28" s="421"/>
      <c r="BH28" s="402"/>
      <c r="BI28" s="413"/>
      <c r="BJ28" s="414" t="s">
        <v>575</v>
      </c>
      <c r="BK28" s="404" t="s">
        <v>551</v>
      </c>
      <c r="BL28" s="400" t="s">
        <v>323</v>
      </c>
      <c r="BM28" s="401" t="s">
        <v>324</v>
      </c>
      <c r="BN28" s="401" t="s">
        <v>324</v>
      </c>
      <c r="BO28" s="401" t="s">
        <v>323</v>
      </c>
      <c r="BP28" s="404" t="s">
        <v>324</v>
      </c>
      <c r="BQ28" s="402"/>
      <c r="BS28" s="413"/>
      <c r="BT28" s="401" t="s">
        <v>495</v>
      </c>
      <c r="BU28" s="401" t="s">
        <v>551</v>
      </c>
      <c r="BV28" s="400" t="s">
        <v>409</v>
      </c>
      <c r="BW28" s="401" t="s">
        <v>451</v>
      </c>
      <c r="BX28" s="401" t="s">
        <v>497</v>
      </c>
      <c r="BY28" s="401" t="s">
        <v>426</v>
      </c>
      <c r="BZ28" s="404" t="s">
        <v>421</v>
      </c>
      <c r="CA28" s="400" t="s">
        <v>323</v>
      </c>
      <c r="CB28" s="401" t="s">
        <v>324</v>
      </c>
      <c r="CC28" s="401" t="s">
        <v>323</v>
      </c>
      <c r="CD28" s="401" t="s">
        <v>324</v>
      </c>
      <c r="CE28" s="401" t="s">
        <v>324</v>
      </c>
      <c r="CF28" s="400" t="s">
        <v>324</v>
      </c>
      <c r="CG28" s="401" t="s">
        <v>324</v>
      </c>
      <c r="CH28" s="404" t="s">
        <v>323</v>
      </c>
      <c r="CI28" s="413"/>
      <c r="CJ28" s="402" t="s">
        <v>335</v>
      </c>
      <c r="CK28" s="401" t="s">
        <v>325</v>
      </c>
    </row>
    <row r="29" spans="1:89" ht="9">
      <c r="A29" s="394" t="s">
        <v>349</v>
      </c>
      <c r="B29" s="398" t="s">
        <v>498</v>
      </c>
      <c r="C29" s="400" t="s">
        <v>473</v>
      </c>
      <c r="D29" s="401" t="s">
        <v>462</v>
      </c>
      <c r="E29" s="401" t="s">
        <v>482</v>
      </c>
      <c r="F29" s="401" t="s">
        <v>499</v>
      </c>
      <c r="G29" s="401" t="s">
        <v>414</v>
      </c>
      <c r="H29" s="401" t="s">
        <v>467</v>
      </c>
      <c r="I29" s="401" t="s">
        <v>500</v>
      </c>
      <c r="J29" s="401" t="s">
        <v>472</v>
      </c>
      <c r="K29" s="402" t="s">
        <v>429</v>
      </c>
      <c r="L29" s="403" t="s">
        <v>660</v>
      </c>
      <c r="M29" s="402" t="s">
        <v>429</v>
      </c>
      <c r="N29" s="401" t="s">
        <v>473</v>
      </c>
      <c r="O29" s="401" t="s">
        <v>456</v>
      </c>
      <c r="P29" s="401" t="s">
        <v>447</v>
      </c>
      <c r="Q29" s="401" t="s">
        <v>447</v>
      </c>
      <c r="R29" s="401" t="s">
        <v>469</v>
      </c>
      <c r="S29" s="401" t="s">
        <v>447</v>
      </c>
      <c r="T29" s="401" t="s">
        <v>522</v>
      </c>
      <c r="U29" s="399" t="s">
        <v>661</v>
      </c>
      <c r="V29" s="401" t="s">
        <v>452</v>
      </c>
      <c r="W29" s="404" t="s">
        <v>439</v>
      </c>
      <c r="X29" s="400" t="s">
        <v>322</v>
      </c>
      <c r="Y29" s="401" t="s">
        <v>323</v>
      </c>
      <c r="Z29" s="401" t="s">
        <v>322</v>
      </c>
      <c r="AA29" s="401" t="s">
        <v>323</v>
      </c>
      <c r="AB29" s="404" t="s">
        <v>323</v>
      </c>
      <c r="AC29" s="420" t="s">
        <v>729</v>
      </c>
      <c r="AD29" s="404" t="s">
        <v>530</v>
      </c>
      <c r="AE29" s="421">
        <v>8</v>
      </c>
      <c r="AF29" s="422">
        <v>8</v>
      </c>
      <c r="AG29" s="422">
        <v>7</v>
      </c>
      <c r="AH29" s="422">
        <v>7</v>
      </c>
      <c r="AI29" s="422">
        <v>7</v>
      </c>
      <c r="AJ29" s="422">
        <v>6</v>
      </c>
      <c r="AK29" s="422">
        <v>6</v>
      </c>
      <c r="AL29" s="422">
        <v>5</v>
      </c>
      <c r="AM29" s="423">
        <v>5</v>
      </c>
      <c r="AN29" s="421">
        <v>3</v>
      </c>
      <c r="AO29" s="422">
        <v>3</v>
      </c>
      <c r="AP29" s="422">
        <v>3</v>
      </c>
      <c r="AQ29" s="422">
        <v>4</v>
      </c>
      <c r="AR29" s="423">
        <v>2</v>
      </c>
      <c r="AS29" s="420" t="s">
        <v>760</v>
      </c>
      <c r="AT29" s="424" t="s">
        <v>361</v>
      </c>
      <c r="AU29" s="415" t="s">
        <v>328</v>
      </c>
      <c r="AV29" s="415" t="s">
        <v>328</v>
      </c>
      <c r="AW29" s="415" t="s">
        <v>327</v>
      </c>
      <c r="AX29" s="415" t="s">
        <v>327</v>
      </c>
      <c r="AY29" s="415" t="s">
        <v>327</v>
      </c>
      <c r="AZ29" s="415" t="s">
        <v>326</v>
      </c>
      <c r="BA29" s="413" t="s">
        <v>326</v>
      </c>
      <c r="BB29" s="425" t="s">
        <v>322</v>
      </c>
      <c r="BC29" s="415" t="s">
        <v>323</v>
      </c>
      <c r="BD29" s="415" t="s">
        <v>323</v>
      </c>
      <c r="BE29" s="415" t="s">
        <v>323</v>
      </c>
      <c r="BF29" s="413" t="s">
        <v>323</v>
      </c>
      <c r="BG29" s="421"/>
      <c r="BH29" s="402"/>
      <c r="BI29" s="413"/>
      <c r="BJ29" s="414" t="s">
        <v>576</v>
      </c>
      <c r="BK29" s="404" t="s">
        <v>551</v>
      </c>
      <c r="BL29" s="400" t="s">
        <v>323</v>
      </c>
      <c r="BM29" s="401" t="s">
        <v>324</v>
      </c>
      <c r="BN29" s="401" t="s">
        <v>324</v>
      </c>
      <c r="BO29" s="401" t="s">
        <v>323</v>
      </c>
      <c r="BP29" s="404" t="s">
        <v>324</v>
      </c>
      <c r="BQ29" s="402"/>
      <c r="BR29" s="415"/>
      <c r="BS29" s="413"/>
      <c r="BT29" s="401" t="s">
        <v>498</v>
      </c>
      <c r="BU29" s="401" t="s">
        <v>551</v>
      </c>
      <c r="BV29" s="400" t="s">
        <v>414</v>
      </c>
      <c r="BW29" s="401" t="s">
        <v>467</v>
      </c>
      <c r="BX29" s="401" t="s">
        <v>500</v>
      </c>
      <c r="BY29" s="401" t="s">
        <v>426</v>
      </c>
      <c r="BZ29" s="404" t="s">
        <v>426</v>
      </c>
      <c r="CA29" s="400" t="s">
        <v>322</v>
      </c>
      <c r="CB29" s="401" t="s">
        <v>323</v>
      </c>
      <c r="CC29" s="401" t="s">
        <v>322</v>
      </c>
      <c r="CD29" s="401" t="s">
        <v>323</v>
      </c>
      <c r="CE29" s="401" t="s">
        <v>323</v>
      </c>
      <c r="CF29" s="400" t="s">
        <v>324</v>
      </c>
      <c r="CG29" s="401" t="s">
        <v>324</v>
      </c>
      <c r="CH29" s="404" t="s">
        <v>323</v>
      </c>
      <c r="CI29" s="413"/>
      <c r="CJ29" s="402" t="s">
        <v>335</v>
      </c>
      <c r="CK29" s="401" t="s">
        <v>326</v>
      </c>
    </row>
    <row r="30" spans="1:89" ht="9">
      <c r="A30" s="394" t="s">
        <v>350</v>
      </c>
      <c r="B30" s="398" t="s">
        <v>501</v>
      </c>
      <c r="C30" s="400" t="s">
        <v>479</v>
      </c>
      <c r="D30" s="401" t="s">
        <v>465</v>
      </c>
      <c r="E30" s="401" t="s">
        <v>491</v>
      </c>
      <c r="F30" s="401" t="s">
        <v>502</v>
      </c>
      <c r="G30" s="401" t="s">
        <v>421</v>
      </c>
      <c r="H30" s="401" t="s">
        <v>394</v>
      </c>
      <c r="I30" s="401" t="s">
        <v>503</v>
      </c>
      <c r="J30" s="401" t="s">
        <v>500</v>
      </c>
      <c r="K30" s="402" t="s">
        <v>429</v>
      </c>
      <c r="L30" s="403" t="s">
        <v>581</v>
      </c>
      <c r="M30" s="402" t="s">
        <v>429</v>
      </c>
      <c r="N30" s="401" t="s">
        <v>479</v>
      </c>
      <c r="O30" s="401" t="s">
        <v>460</v>
      </c>
      <c r="P30" s="401" t="s">
        <v>447</v>
      </c>
      <c r="Q30" s="401" t="s">
        <v>447</v>
      </c>
      <c r="R30" s="401" t="s">
        <v>472</v>
      </c>
      <c r="S30" s="401" t="s">
        <v>447</v>
      </c>
      <c r="T30" s="401" t="s">
        <v>525</v>
      </c>
      <c r="U30" s="399" t="s">
        <v>662</v>
      </c>
      <c r="V30" s="401" t="s">
        <v>452</v>
      </c>
      <c r="W30" s="404" t="s">
        <v>439</v>
      </c>
      <c r="X30" s="400"/>
      <c r="Y30" s="401"/>
      <c r="Z30" s="401"/>
      <c r="AA30" s="401"/>
      <c r="AB30" s="404"/>
      <c r="AC30" s="420" t="s">
        <v>730</v>
      </c>
      <c r="AD30" s="404" t="s">
        <v>530</v>
      </c>
      <c r="AE30" s="421">
        <v>8</v>
      </c>
      <c r="AF30" s="422">
        <v>8</v>
      </c>
      <c r="AG30" s="422">
        <v>8</v>
      </c>
      <c r="AH30" s="422">
        <v>7</v>
      </c>
      <c r="AI30" s="422">
        <v>7</v>
      </c>
      <c r="AJ30" s="422">
        <v>7</v>
      </c>
      <c r="AK30" s="422">
        <v>6</v>
      </c>
      <c r="AL30" s="422">
        <v>6</v>
      </c>
      <c r="AM30" s="423">
        <v>5</v>
      </c>
      <c r="AN30" s="421">
        <v>3</v>
      </c>
      <c r="AO30" s="422">
        <v>3</v>
      </c>
      <c r="AP30" s="422">
        <v>3</v>
      </c>
      <c r="AQ30" s="422">
        <v>4</v>
      </c>
      <c r="AR30" s="423">
        <v>2</v>
      </c>
      <c r="AS30" s="420" t="s">
        <v>761</v>
      </c>
      <c r="AT30" s="424" t="s">
        <v>361</v>
      </c>
      <c r="AU30" s="415" t="s">
        <v>328</v>
      </c>
      <c r="AV30" s="415" t="s">
        <v>328</v>
      </c>
      <c r="AW30" s="415" t="s">
        <v>328</v>
      </c>
      <c r="AX30" s="415" t="s">
        <v>327</v>
      </c>
      <c r="AY30" s="415" t="s">
        <v>327</v>
      </c>
      <c r="AZ30" s="415" t="s">
        <v>327</v>
      </c>
      <c r="BA30" s="413" t="s">
        <v>326</v>
      </c>
      <c r="BB30" s="425"/>
      <c r="BC30" s="415"/>
      <c r="BD30" s="415"/>
      <c r="BE30" s="415"/>
      <c r="BF30" s="413"/>
      <c r="BG30" s="421"/>
      <c r="BH30" s="402" t="s">
        <v>504</v>
      </c>
      <c r="BI30" s="413" t="s">
        <v>663</v>
      </c>
      <c r="BJ30" s="414" t="s">
        <v>577</v>
      </c>
      <c r="BK30" s="404" t="s">
        <v>551</v>
      </c>
      <c r="BL30" s="400" t="s">
        <v>323</v>
      </c>
      <c r="BM30" s="401" t="s">
        <v>324</v>
      </c>
      <c r="BN30" s="401" t="s">
        <v>324</v>
      </c>
      <c r="BO30" s="401" t="s">
        <v>323</v>
      </c>
      <c r="BP30" s="404" t="s">
        <v>324</v>
      </c>
      <c r="BQ30" s="402"/>
      <c r="BR30" s="415" t="s">
        <v>578</v>
      </c>
      <c r="BS30" s="413" t="s">
        <v>579</v>
      </c>
      <c r="BT30" s="401" t="s">
        <v>501</v>
      </c>
      <c r="BU30" s="401" t="s">
        <v>551</v>
      </c>
      <c r="BV30" s="400" t="s">
        <v>421</v>
      </c>
      <c r="BW30" s="401" t="s">
        <v>394</v>
      </c>
      <c r="BX30" s="401" t="s">
        <v>503</v>
      </c>
      <c r="BY30" s="401" t="s">
        <v>426</v>
      </c>
      <c r="BZ30" s="404" t="s">
        <v>431</v>
      </c>
      <c r="CA30" s="400" t="s">
        <v>322</v>
      </c>
      <c r="CB30" s="401" t="s">
        <v>323</v>
      </c>
      <c r="CC30" s="401" t="s">
        <v>322</v>
      </c>
      <c r="CD30" s="401" t="s">
        <v>323</v>
      </c>
      <c r="CE30" s="401" t="s">
        <v>323</v>
      </c>
      <c r="CF30" s="400" t="s">
        <v>324</v>
      </c>
      <c r="CG30" s="401" t="s">
        <v>324</v>
      </c>
      <c r="CH30" s="404" t="s">
        <v>324</v>
      </c>
      <c r="CI30" s="413" t="s">
        <v>701</v>
      </c>
      <c r="CJ30" s="402" t="s">
        <v>336</v>
      </c>
      <c r="CK30" s="401" t="s">
        <v>702</v>
      </c>
    </row>
    <row r="31" spans="1:89" ht="9">
      <c r="A31" s="394" t="s">
        <v>351</v>
      </c>
      <c r="B31" s="398" t="s">
        <v>505</v>
      </c>
      <c r="C31" s="400" t="s">
        <v>469</v>
      </c>
      <c r="D31" s="401" t="s">
        <v>464</v>
      </c>
      <c r="E31" s="401" t="s">
        <v>472</v>
      </c>
      <c r="F31" s="401" t="s">
        <v>506</v>
      </c>
      <c r="G31" s="401" t="s">
        <v>426</v>
      </c>
      <c r="H31" s="401" t="s">
        <v>401</v>
      </c>
      <c r="I31" s="401" t="s">
        <v>475</v>
      </c>
      <c r="J31" s="401" t="s">
        <v>507</v>
      </c>
      <c r="K31" s="402" t="s">
        <v>429</v>
      </c>
      <c r="L31" s="403" t="s">
        <v>664</v>
      </c>
      <c r="M31" s="402" t="s">
        <v>429</v>
      </c>
      <c r="N31" s="401" t="s">
        <v>469</v>
      </c>
      <c r="O31" s="401" t="s">
        <v>462</v>
      </c>
      <c r="P31" s="401" t="s">
        <v>447</v>
      </c>
      <c r="Q31" s="401" t="s">
        <v>447</v>
      </c>
      <c r="R31" s="401" t="s">
        <v>475</v>
      </c>
      <c r="S31" s="401" t="s">
        <v>447</v>
      </c>
      <c r="T31" s="401" t="s">
        <v>665</v>
      </c>
      <c r="U31" s="399" t="s">
        <v>666</v>
      </c>
      <c r="V31" s="401" t="s">
        <v>452</v>
      </c>
      <c r="W31" s="404" t="s">
        <v>439</v>
      </c>
      <c r="X31" s="400"/>
      <c r="Y31" s="401"/>
      <c r="Z31" s="401"/>
      <c r="AA31" s="401"/>
      <c r="AB31" s="404"/>
      <c r="AC31" s="420" t="s">
        <v>731</v>
      </c>
      <c r="AD31" s="404" t="s">
        <v>530</v>
      </c>
      <c r="AE31" s="421">
        <v>8</v>
      </c>
      <c r="AF31" s="422">
        <v>8</v>
      </c>
      <c r="AG31" s="422">
        <v>8</v>
      </c>
      <c r="AH31" s="422">
        <v>7</v>
      </c>
      <c r="AI31" s="422">
        <v>7</v>
      </c>
      <c r="AJ31" s="422">
        <v>7</v>
      </c>
      <c r="AK31" s="422">
        <v>7</v>
      </c>
      <c r="AL31" s="422">
        <v>6</v>
      </c>
      <c r="AM31" s="423">
        <v>6</v>
      </c>
      <c r="AN31" s="421">
        <v>3</v>
      </c>
      <c r="AO31" s="422">
        <v>3</v>
      </c>
      <c r="AP31" s="422">
        <v>3</v>
      </c>
      <c r="AQ31" s="422">
        <v>4</v>
      </c>
      <c r="AR31" s="423">
        <v>2</v>
      </c>
      <c r="AS31" s="420" t="s">
        <v>724</v>
      </c>
      <c r="AT31" s="424" t="s">
        <v>361</v>
      </c>
      <c r="AU31" s="415" t="s">
        <v>328</v>
      </c>
      <c r="AV31" s="415" t="s">
        <v>328</v>
      </c>
      <c r="AW31" s="415" t="s">
        <v>328</v>
      </c>
      <c r="AX31" s="415" t="s">
        <v>328</v>
      </c>
      <c r="AY31" s="415" t="s">
        <v>328</v>
      </c>
      <c r="AZ31" s="415" t="s">
        <v>327</v>
      </c>
      <c r="BA31" s="413" t="s">
        <v>326</v>
      </c>
      <c r="BB31" s="425"/>
      <c r="BC31" s="415"/>
      <c r="BD31" s="415"/>
      <c r="BE31" s="415"/>
      <c r="BF31" s="413"/>
      <c r="BG31" s="421"/>
      <c r="BH31" s="402"/>
      <c r="BI31" s="413"/>
      <c r="BJ31" s="414" t="s">
        <v>580</v>
      </c>
      <c r="BK31" s="404" t="s">
        <v>551</v>
      </c>
      <c r="BL31" s="400" t="s">
        <v>323</v>
      </c>
      <c r="BM31" s="401" t="s">
        <v>323</v>
      </c>
      <c r="BN31" s="401" t="s">
        <v>323</v>
      </c>
      <c r="BO31" s="401" t="s">
        <v>322</v>
      </c>
      <c r="BP31" s="404" t="s">
        <v>323</v>
      </c>
      <c r="BQ31" s="402"/>
      <c r="BS31" s="413"/>
      <c r="BT31" s="401" t="s">
        <v>505</v>
      </c>
      <c r="BU31" s="401" t="s">
        <v>551</v>
      </c>
      <c r="BV31" s="400" t="s">
        <v>426</v>
      </c>
      <c r="BW31" s="401" t="s">
        <v>401</v>
      </c>
      <c r="BX31" s="401" t="s">
        <v>475</v>
      </c>
      <c r="BY31" s="401" t="s">
        <v>426</v>
      </c>
      <c r="BZ31" s="404" t="s">
        <v>436</v>
      </c>
      <c r="CA31" s="400" t="s">
        <v>322</v>
      </c>
      <c r="CB31" s="401" t="s">
        <v>323</v>
      </c>
      <c r="CC31" s="401" t="s">
        <v>322</v>
      </c>
      <c r="CD31" s="401" t="s">
        <v>323</v>
      </c>
      <c r="CE31" s="401" t="s">
        <v>323</v>
      </c>
      <c r="CF31" s="400" t="s">
        <v>324</v>
      </c>
      <c r="CG31" s="401" t="s">
        <v>324</v>
      </c>
      <c r="CH31" s="404" t="s">
        <v>324</v>
      </c>
      <c r="CI31" s="413"/>
      <c r="CJ31" s="402" t="s">
        <v>336</v>
      </c>
      <c r="CK31" s="401" t="s">
        <v>326</v>
      </c>
    </row>
    <row r="32" spans="1:89" ht="9">
      <c r="A32" s="394" t="s">
        <v>352</v>
      </c>
      <c r="B32" s="398" t="s">
        <v>508</v>
      </c>
      <c r="C32" s="400" t="s">
        <v>491</v>
      </c>
      <c r="D32" s="401" t="s">
        <v>473</v>
      </c>
      <c r="E32" s="401" t="s">
        <v>503</v>
      </c>
      <c r="F32" s="401" t="s">
        <v>509</v>
      </c>
      <c r="G32" s="401" t="s">
        <v>431</v>
      </c>
      <c r="H32" s="401" t="s">
        <v>409</v>
      </c>
      <c r="I32" s="401" t="s">
        <v>510</v>
      </c>
      <c r="J32" s="401" t="s">
        <v>503</v>
      </c>
      <c r="K32" s="402" t="s">
        <v>429</v>
      </c>
      <c r="L32" s="403" t="s">
        <v>667</v>
      </c>
      <c r="M32" s="402" t="s">
        <v>429</v>
      </c>
      <c r="N32" s="401" t="s">
        <v>491</v>
      </c>
      <c r="O32" s="401" t="s">
        <v>465</v>
      </c>
      <c r="P32" s="401" t="s">
        <v>447</v>
      </c>
      <c r="Q32" s="401" t="s">
        <v>447</v>
      </c>
      <c r="R32" s="401" t="s">
        <v>478</v>
      </c>
      <c r="S32" s="401" t="s">
        <v>447</v>
      </c>
      <c r="T32" s="401" t="s">
        <v>668</v>
      </c>
      <c r="U32" s="399" t="s">
        <v>669</v>
      </c>
      <c r="V32" s="401" t="s">
        <v>452</v>
      </c>
      <c r="W32" s="404" t="s">
        <v>439</v>
      </c>
      <c r="X32" s="400"/>
      <c r="Y32" s="401"/>
      <c r="Z32" s="401"/>
      <c r="AA32" s="401"/>
      <c r="AB32" s="404"/>
      <c r="AC32" s="420" t="s">
        <v>732</v>
      </c>
      <c r="AD32" s="404" t="s">
        <v>530</v>
      </c>
      <c r="AE32" s="421">
        <v>9</v>
      </c>
      <c r="AF32" s="422">
        <v>8</v>
      </c>
      <c r="AG32" s="422">
        <v>8</v>
      </c>
      <c r="AH32" s="422">
        <v>8</v>
      </c>
      <c r="AI32" s="422">
        <v>8</v>
      </c>
      <c r="AJ32" s="422">
        <v>7</v>
      </c>
      <c r="AK32" s="422">
        <v>7</v>
      </c>
      <c r="AL32" s="422">
        <v>7</v>
      </c>
      <c r="AM32" s="423">
        <v>6</v>
      </c>
      <c r="AN32" s="421">
        <v>3</v>
      </c>
      <c r="AO32" s="422">
        <v>3</v>
      </c>
      <c r="AP32" s="422">
        <v>3</v>
      </c>
      <c r="AQ32" s="422">
        <v>4</v>
      </c>
      <c r="AR32" s="423">
        <v>2</v>
      </c>
      <c r="AS32" s="420" t="s">
        <v>762</v>
      </c>
      <c r="AT32" s="424" t="s">
        <v>361</v>
      </c>
      <c r="AU32" s="415" t="s">
        <v>329</v>
      </c>
      <c r="AV32" s="415" t="s">
        <v>328</v>
      </c>
      <c r="AW32" s="415" t="s">
        <v>328</v>
      </c>
      <c r="AX32" s="415" t="s">
        <v>328</v>
      </c>
      <c r="AY32" s="415" t="s">
        <v>328</v>
      </c>
      <c r="AZ32" s="415" t="s">
        <v>327</v>
      </c>
      <c r="BA32" s="413" t="s">
        <v>327</v>
      </c>
      <c r="BB32" s="425"/>
      <c r="BC32" s="415"/>
      <c r="BD32" s="415"/>
      <c r="BE32" s="415"/>
      <c r="BF32" s="413"/>
      <c r="BG32" s="421"/>
      <c r="BH32" s="402"/>
      <c r="BI32" s="413"/>
      <c r="BJ32" s="414" t="s">
        <v>581</v>
      </c>
      <c r="BK32" s="404" t="s">
        <v>551</v>
      </c>
      <c r="BL32" s="400" t="s">
        <v>323</v>
      </c>
      <c r="BM32" s="401" t="s">
        <v>323</v>
      </c>
      <c r="BN32" s="401" t="s">
        <v>323</v>
      </c>
      <c r="BO32" s="401" t="s">
        <v>322</v>
      </c>
      <c r="BP32" s="404" t="s">
        <v>323</v>
      </c>
      <c r="BQ32" s="402"/>
      <c r="BR32" s="415"/>
      <c r="BS32" s="413"/>
      <c r="BT32" s="401" t="s">
        <v>534</v>
      </c>
      <c r="BU32" s="401" t="s">
        <v>551</v>
      </c>
      <c r="BV32" s="400" t="s">
        <v>431</v>
      </c>
      <c r="BW32" s="401" t="s">
        <v>409</v>
      </c>
      <c r="BX32" s="401" t="s">
        <v>510</v>
      </c>
      <c r="BY32" s="401" t="s">
        <v>426</v>
      </c>
      <c r="BZ32" s="404" t="s">
        <v>442</v>
      </c>
      <c r="CA32" s="400" t="s">
        <v>322</v>
      </c>
      <c r="CB32" s="401" t="s">
        <v>323</v>
      </c>
      <c r="CC32" s="401" t="s">
        <v>322</v>
      </c>
      <c r="CD32" s="401" t="s">
        <v>323</v>
      </c>
      <c r="CE32" s="401" t="s">
        <v>323</v>
      </c>
      <c r="CF32" s="400" t="s">
        <v>324</v>
      </c>
      <c r="CG32" s="401" t="s">
        <v>324</v>
      </c>
      <c r="CH32" s="404" t="s">
        <v>324</v>
      </c>
      <c r="CI32" s="413"/>
      <c r="CJ32" s="402" t="s">
        <v>337</v>
      </c>
      <c r="CK32" s="401" t="s">
        <v>326</v>
      </c>
    </row>
    <row r="33" spans="1:89" ht="9">
      <c r="A33" s="394" t="s">
        <v>511</v>
      </c>
      <c r="B33" s="398" t="s">
        <v>512</v>
      </c>
      <c r="C33" s="400" t="s">
        <v>497</v>
      </c>
      <c r="D33" s="401" t="s">
        <v>476</v>
      </c>
      <c r="E33" s="401" t="s">
        <v>513</v>
      </c>
      <c r="F33" s="401" t="s">
        <v>514</v>
      </c>
      <c r="G33" s="401" t="s">
        <v>436</v>
      </c>
      <c r="H33" s="401" t="s">
        <v>421</v>
      </c>
      <c r="I33" s="401" t="s">
        <v>515</v>
      </c>
      <c r="J33" s="401" t="s">
        <v>503</v>
      </c>
      <c r="K33" s="402" t="s">
        <v>429</v>
      </c>
      <c r="L33" s="403" t="s">
        <v>670</v>
      </c>
      <c r="M33" s="402" t="s">
        <v>429</v>
      </c>
      <c r="N33" s="401" t="s">
        <v>497</v>
      </c>
      <c r="O33" s="401" t="s">
        <v>464</v>
      </c>
      <c r="P33" s="401" t="s">
        <v>447</v>
      </c>
      <c r="Q33" s="401" t="s">
        <v>447</v>
      </c>
      <c r="R33" s="401" t="s">
        <v>481</v>
      </c>
      <c r="S33" s="401" t="s">
        <v>447</v>
      </c>
      <c r="T33" s="401" t="s">
        <v>671</v>
      </c>
      <c r="U33" s="399" t="s">
        <v>672</v>
      </c>
      <c r="V33" s="401" t="s">
        <v>452</v>
      </c>
      <c r="W33" s="404" t="s">
        <v>439</v>
      </c>
      <c r="X33" s="400" t="s">
        <v>322</v>
      </c>
      <c r="Y33" s="401" t="s">
        <v>322</v>
      </c>
      <c r="Z33" s="401" t="s">
        <v>322</v>
      </c>
      <c r="AA33" s="401" t="s">
        <v>322</v>
      </c>
      <c r="AB33" s="404" t="s">
        <v>322</v>
      </c>
      <c r="AC33" s="420" t="s">
        <v>733</v>
      </c>
      <c r="AD33" s="404" t="s">
        <v>530</v>
      </c>
      <c r="AE33" s="421">
        <v>9</v>
      </c>
      <c r="AF33" s="422">
        <v>9</v>
      </c>
      <c r="AG33" s="422">
        <v>9</v>
      </c>
      <c r="AH33" s="422">
        <v>8</v>
      </c>
      <c r="AI33" s="422">
        <v>8</v>
      </c>
      <c r="AJ33" s="422">
        <v>8</v>
      </c>
      <c r="AK33" s="422">
        <v>7</v>
      </c>
      <c r="AL33" s="422">
        <v>7</v>
      </c>
      <c r="AM33" s="423">
        <v>7</v>
      </c>
      <c r="AN33" s="421">
        <v>2</v>
      </c>
      <c r="AO33" s="422">
        <v>2</v>
      </c>
      <c r="AP33" s="422">
        <v>2</v>
      </c>
      <c r="AQ33" s="422">
        <v>2</v>
      </c>
      <c r="AR33" s="423">
        <v>2</v>
      </c>
      <c r="AS33" s="420" t="s">
        <v>763</v>
      </c>
      <c r="AT33" s="424" t="s">
        <v>361</v>
      </c>
      <c r="AU33" s="415" t="s">
        <v>329</v>
      </c>
      <c r="AV33" s="415" t="s">
        <v>329</v>
      </c>
      <c r="AW33" s="415" t="s">
        <v>328</v>
      </c>
      <c r="AX33" s="415" t="s">
        <v>328</v>
      </c>
      <c r="AY33" s="415" t="s">
        <v>328</v>
      </c>
      <c r="AZ33" s="415" t="s">
        <v>328</v>
      </c>
      <c r="BA33" s="413" t="s">
        <v>327</v>
      </c>
      <c r="BB33" s="425" t="s">
        <v>322</v>
      </c>
      <c r="BC33" s="415" t="s">
        <v>322</v>
      </c>
      <c r="BD33" s="415" t="s">
        <v>322</v>
      </c>
      <c r="BE33" s="415" t="s">
        <v>322</v>
      </c>
      <c r="BF33" s="413" t="s">
        <v>322</v>
      </c>
      <c r="BG33" s="421" t="s">
        <v>360</v>
      </c>
      <c r="BH33" s="402"/>
      <c r="BI33" s="413"/>
      <c r="BJ33" s="414" t="s">
        <v>582</v>
      </c>
      <c r="BK33" s="404" t="s">
        <v>551</v>
      </c>
      <c r="BL33" s="400" t="s">
        <v>323</v>
      </c>
      <c r="BM33" s="401" t="s">
        <v>323</v>
      </c>
      <c r="BN33" s="401" t="s">
        <v>323</v>
      </c>
      <c r="BO33" s="401" t="s">
        <v>322</v>
      </c>
      <c r="BP33" s="404" t="s">
        <v>323</v>
      </c>
      <c r="BQ33" s="402"/>
      <c r="BR33" s="415" t="s">
        <v>583</v>
      </c>
      <c r="BS33" s="413"/>
      <c r="BT33" s="401" t="s">
        <v>512</v>
      </c>
      <c r="BU33" s="401" t="s">
        <v>551</v>
      </c>
      <c r="BV33" s="400" t="s">
        <v>436</v>
      </c>
      <c r="BW33" s="401" t="s">
        <v>421</v>
      </c>
      <c r="BX33" s="401" t="s">
        <v>515</v>
      </c>
      <c r="BY33" s="401" t="s">
        <v>426</v>
      </c>
      <c r="BZ33" s="404" t="s">
        <v>442</v>
      </c>
      <c r="CA33" s="400" t="s">
        <v>322</v>
      </c>
      <c r="CB33" s="401" t="s">
        <v>322</v>
      </c>
      <c r="CC33" s="401" t="s">
        <v>322</v>
      </c>
      <c r="CD33" s="401" t="s">
        <v>322</v>
      </c>
      <c r="CE33" s="401" t="s">
        <v>322</v>
      </c>
      <c r="CF33" s="400" t="s">
        <v>324</v>
      </c>
      <c r="CG33" s="401" t="s">
        <v>324</v>
      </c>
      <c r="CH33" s="404" t="s">
        <v>324</v>
      </c>
      <c r="CI33" s="413" t="s">
        <v>703</v>
      </c>
      <c r="CJ33" s="402" t="s">
        <v>337</v>
      </c>
      <c r="CK33" s="401" t="s">
        <v>326</v>
      </c>
    </row>
    <row r="34" spans="1:89" ht="9">
      <c r="A34" s="394" t="s">
        <v>406</v>
      </c>
      <c r="B34" s="398" t="s">
        <v>516</v>
      </c>
      <c r="C34" s="400" t="s">
        <v>500</v>
      </c>
      <c r="D34" s="401" t="s">
        <v>479</v>
      </c>
      <c r="E34" s="401" t="s">
        <v>515</v>
      </c>
      <c r="F34" s="401" t="s">
        <v>517</v>
      </c>
      <c r="G34" s="401" t="s">
        <v>442</v>
      </c>
      <c r="H34" s="401" t="s">
        <v>431</v>
      </c>
      <c r="I34" s="401" t="s">
        <v>518</v>
      </c>
      <c r="J34" s="401" t="s">
        <v>519</v>
      </c>
      <c r="K34" s="402" t="s">
        <v>429</v>
      </c>
      <c r="L34" s="403" t="s">
        <v>673</v>
      </c>
      <c r="M34" s="402" t="s">
        <v>429</v>
      </c>
      <c r="N34" s="401" t="s">
        <v>500</v>
      </c>
      <c r="O34" s="401" t="s">
        <v>473</v>
      </c>
      <c r="P34" s="401" t="s">
        <v>447</v>
      </c>
      <c r="Q34" s="401" t="s">
        <v>447</v>
      </c>
      <c r="R34" s="401" t="s">
        <v>485</v>
      </c>
      <c r="S34" s="401" t="s">
        <v>447</v>
      </c>
      <c r="T34" s="401" t="s">
        <v>674</v>
      </c>
      <c r="U34" s="399" t="s">
        <v>675</v>
      </c>
      <c r="V34" s="401" t="s">
        <v>452</v>
      </c>
      <c r="W34" s="404" t="s">
        <v>439</v>
      </c>
      <c r="X34" s="400"/>
      <c r="Y34" s="401"/>
      <c r="Z34" s="401"/>
      <c r="AA34" s="401"/>
      <c r="AB34" s="404"/>
      <c r="AC34" s="420" t="s">
        <v>734</v>
      </c>
      <c r="AD34" s="404" t="s">
        <v>530</v>
      </c>
      <c r="AE34" s="421">
        <v>9</v>
      </c>
      <c r="AF34" s="422">
        <v>9</v>
      </c>
      <c r="AG34" s="422">
        <v>9</v>
      </c>
      <c r="AH34" s="422">
        <v>9</v>
      </c>
      <c r="AI34" s="422">
        <v>8</v>
      </c>
      <c r="AJ34" s="422">
        <v>8</v>
      </c>
      <c r="AK34" s="422">
        <v>8</v>
      </c>
      <c r="AL34" s="422">
        <v>8</v>
      </c>
      <c r="AM34" s="423">
        <v>7</v>
      </c>
      <c r="AN34" s="421">
        <v>2</v>
      </c>
      <c r="AO34" s="422">
        <v>2</v>
      </c>
      <c r="AP34" s="422">
        <v>2</v>
      </c>
      <c r="AQ34" s="422">
        <v>2</v>
      </c>
      <c r="AR34" s="423">
        <v>2</v>
      </c>
      <c r="AS34" s="420" t="s">
        <v>658</v>
      </c>
      <c r="AT34" s="424" t="s">
        <v>361</v>
      </c>
      <c r="AU34" s="415" t="s">
        <v>329</v>
      </c>
      <c r="AV34" s="415" t="s">
        <v>329</v>
      </c>
      <c r="AW34" s="415" t="s">
        <v>329</v>
      </c>
      <c r="AX34" s="415" t="s">
        <v>328</v>
      </c>
      <c r="AY34" s="415" t="s">
        <v>328</v>
      </c>
      <c r="AZ34" s="415" t="s">
        <v>328</v>
      </c>
      <c r="BA34" s="413" t="s">
        <v>328</v>
      </c>
      <c r="BB34" s="425"/>
      <c r="BC34" s="415"/>
      <c r="BD34" s="415"/>
      <c r="BE34" s="415"/>
      <c r="BF34" s="413"/>
      <c r="BG34" s="421"/>
      <c r="BH34" s="402"/>
      <c r="BI34" s="413"/>
      <c r="BJ34" s="414" t="s">
        <v>584</v>
      </c>
      <c r="BK34" s="404" t="s">
        <v>551</v>
      </c>
      <c r="BL34" s="400" t="s">
        <v>322</v>
      </c>
      <c r="BM34" s="401" t="s">
        <v>322</v>
      </c>
      <c r="BN34" s="401" t="s">
        <v>322</v>
      </c>
      <c r="BO34" s="401" t="s">
        <v>322</v>
      </c>
      <c r="BP34" s="404" t="s">
        <v>322</v>
      </c>
      <c r="BQ34" s="402"/>
      <c r="BS34" s="413"/>
      <c r="BT34" s="401" t="s">
        <v>516</v>
      </c>
      <c r="BU34" s="401" t="s">
        <v>551</v>
      </c>
      <c r="BV34" s="400" t="s">
        <v>442</v>
      </c>
      <c r="BW34" s="401" t="s">
        <v>431</v>
      </c>
      <c r="BX34" s="401" t="s">
        <v>518</v>
      </c>
      <c r="BY34" s="401" t="s">
        <v>426</v>
      </c>
      <c r="BZ34" s="404" t="s">
        <v>447</v>
      </c>
      <c r="CA34" s="400" t="s">
        <v>322</v>
      </c>
      <c r="CB34" s="401" t="s">
        <v>322</v>
      </c>
      <c r="CC34" s="401" t="s">
        <v>322</v>
      </c>
      <c r="CD34" s="401" t="s">
        <v>322</v>
      </c>
      <c r="CE34" s="401" t="s">
        <v>322</v>
      </c>
      <c r="CF34" s="400" t="s">
        <v>324</v>
      </c>
      <c r="CG34" s="401" t="s">
        <v>324</v>
      </c>
      <c r="CH34" s="404" t="s">
        <v>324</v>
      </c>
      <c r="CI34" s="440" t="s">
        <v>704</v>
      </c>
      <c r="CJ34" s="402" t="s">
        <v>338</v>
      </c>
      <c r="CK34" s="401" t="s">
        <v>327</v>
      </c>
    </row>
    <row r="35" spans="1:89" ht="9.75" thickBot="1">
      <c r="A35" s="394" t="s">
        <v>393</v>
      </c>
      <c r="B35" s="398" t="s">
        <v>520</v>
      </c>
      <c r="C35" s="400" t="s">
        <v>503</v>
      </c>
      <c r="D35" s="401" t="s">
        <v>482</v>
      </c>
      <c r="E35" s="401" t="s">
        <v>521</v>
      </c>
      <c r="F35" s="401" t="s">
        <v>522</v>
      </c>
      <c r="G35" s="401" t="s">
        <v>447</v>
      </c>
      <c r="H35" s="401" t="s">
        <v>442</v>
      </c>
      <c r="I35" s="401" t="s">
        <v>523</v>
      </c>
      <c r="J35" s="401" t="s">
        <v>519</v>
      </c>
      <c r="K35" s="402" t="s">
        <v>429</v>
      </c>
      <c r="L35" s="403" t="s">
        <v>676</v>
      </c>
      <c r="M35" s="402" t="s">
        <v>429</v>
      </c>
      <c r="N35" s="401" t="s">
        <v>503</v>
      </c>
      <c r="O35" s="401" t="s">
        <v>476</v>
      </c>
      <c r="P35" s="401" t="s">
        <v>447</v>
      </c>
      <c r="Q35" s="401" t="s">
        <v>447</v>
      </c>
      <c r="R35" s="401" t="s">
        <v>487</v>
      </c>
      <c r="S35" s="401" t="s">
        <v>447</v>
      </c>
      <c r="T35" s="401" t="s">
        <v>677</v>
      </c>
      <c r="U35" s="399" t="s">
        <v>678</v>
      </c>
      <c r="V35" s="401" t="s">
        <v>452</v>
      </c>
      <c r="W35" s="404" t="s">
        <v>439</v>
      </c>
      <c r="X35" s="400"/>
      <c r="Y35" s="401"/>
      <c r="Z35" s="401"/>
      <c r="AA35" s="401"/>
      <c r="AB35" s="404"/>
      <c r="AC35" s="420" t="s">
        <v>735</v>
      </c>
      <c r="AD35" s="404" t="s">
        <v>530</v>
      </c>
      <c r="AE35" s="421">
        <v>9</v>
      </c>
      <c r="AF35" s="422">
        <v>9</v>
      </c>
      <c r="AG35" s="422">
        <v>9</v>
      </c>
      <c r="AH35" s="422">
        <v>9</v>
      </c>
      <c r="AI35" s="422">
        <v>9</v>
      </c>
      <c r="AJ35" s="422">
        <v>9</v>
      </c>
      <c r="AK35" s="422">
        <v>8</v>
      </c>
      <c r="AL35" s="422">
        <v>8</v>
      </c>
      <c r="AM35" s="423">
        <v>8</v>
      </c>
      <c r="AN35" s="421">
        <v>2</v>
      </c>
      <c r="AO35" s="422">
        <v>2</v>
      </c>
      <c r="AP35" s="422">
        <v>2</v>
      </c>
      <c r="AQ35" s="422">
        <v>2</v>
      </c>
      <c r="AR35" s="423">
        <v>2</v>
      </c>
      <c r="AS35" s="441" t="s">
        <v>764</v>
      </c>
      <c r="AT35" s="442" t="s">
        <v>361</v>
      </c>
      <c r="AU35" s="443" t="s">
        <v>329</v>
      </c>
      <c r="AV35" s="443" t="s">
        <v>329</v>
      </c>
      <c r="AW35" s="443" t="s">
        <v>329</v>
      </c>
      <c r="AX35" s="443" t="s">
        <v>329</v>
      </c>
      <c r="AY35" s="443" t="s">
        <v>329</v>
      </c>
      <c r="AZ35" s="443" t="s">
        <v>328</v>
      </c>
      <c r="BA35" s="444" t="s">
        <v>328</v>
      </c>
      <c r="BB35" s="445"/>
      <c r="BC35" s="443"/>
      <c r="BD35" s="443"/>
      <c r="BE35" s="443"/>
      <c r="BF35" s="444"/>
      <c r="BG35" s="421"/>
      <c r="BH35" s="402"/>
      <c r="BI35" s="413"/>
      <c r="BJ35" s="414" t="s">
        <v>585</v>
      </c>
      <c r="BK35" s="404" t="s">
        <v>551</v>
      </c>
      <c r="BL35" s="400" t="s">
        <v>322</v>
      </c>
      <c r="BM35" s="401" t="s">
        <v>322</v>
      </c>
      <c r="BN35" s="401" t="s">
        <v>322</v>
      </c>
      <c r="BO35" s="401" t="s">
        <v>322</v>
      </c>
      <c r="BP35" s="404" t="s">
        <v>322</v>
      </c>
      <c r="BQ35" s="402"/>
      <c r="BR35" s="415"/>
      <c r="BS35" s="413"/>
      <c r="BT35" s="401" t="s">
        <v>535</v>
      </c>
      <c r="BU35" s="401" t="s">
        <v>551</v>
      </c>
      <c r="BV35" s="400" t="s">
        <v>447</v>
      </c>
      <c r="BW35" s="401" t="s">
        <v>442</v>
      </c>
      <c r="BX35" s="401" t="s">
        <v>523</v>
      </c>
      <c r="BY35" s="401" t="s">
        <v>426</v>
      </c>
      <c r="BZ35" s="404" t="s">
        <v>447</v>
      </c>
      <c r="CA35" s="400" t="s">
        <v>322</v>
      </c>
      <c r="CB35" s="401" t="s">
        <v>322</v>
      </c>
      <c r="CC35" s="401" t="s">
        <v>322</v>
      </c>
      <c r="CD35" s="401" t="s">
        <v>322</v>
      </c>
      <c r="CE35" s="401" t="s">
        <v>322</v>
      </c>
      <c r="CF35" s="400" t="s">
        <v>324</v>
      </c>
      <c r="CG35" s="401" t="s">
        <v>324</v>
      </c>
      <c r="CH35" s="404" t="s">
        <v>324</v>
      </c>
      <c r="CI35" s="413"/>
      <c r="CJ35" s="402" t="s">
        <v>338</v>
      </c>
      <c r="CK35" s="401" t="s">
        <v>327</v>
      </c>
    </row>
    <row r="36" spans="1:89" ht="9.75" thickBot="1">
      <c r="A36" s="394" t="s">
        <v>356</v>
      </c>
      <c r="B36" s="398" t="s">
        <v>524</v>
      </c>
      <c r="C36" s="400" t="s">
        <v>475</v>
      </c>
      <c r="D36" s="401" t="s">
        <v>469</v>
      </c>
      <c r="E36" s="401" t="s">
        <v>481</v>
      </c>
      <c r="F36" s="401" t="s">
        <v>525</v>
      </c>
      <c r="G36" s="401" t="s">
        <v>452</v>
      </c>
      <c r="H36" s="401" t="s">
        <v>452</v>
      </c>
      <c r="I36" s="401" t="s">
        <v>481</v>
      </c>
      <c r="J36" s="401" t="s">
        <v>475</v>
      </c>
      <c r="K36" s="446" t="s">
        <v>429</v>
      </c>
      <c r="L36" s="447" t="s">
        <v>679</v>
      </c>
      <c r="M36" s="446" t="s">
        <v>429</v>
      </c>
      <c r="N36" s="448" t="s">
        <v>475</v>
      </c>
      <c r="O36" s="448" t="s">
        <v>479</v>
      </c>
      <c r="P36" s="448" t="s">
        <v>447</v>
      </c>
      <c r="Q36" s="448" t="s">
        <v>447</v>
      </c>
      <c r="R36" s="448" t="s">
        <v>490</v>
      </c>
      <c r="S36" s="448" t="s">
        <v>447</v>
      </c>
      <c r="T36" s="448" t="s">
        <v>680</v>
      </c>
      <c r="U36" s="449" t="s">
        <v>681</v>
      </c>
      <c r="V36" s="448" t="s">
        <v>452</v>
      </c>
      <c r="W36" s="450" t="s">
        <v>439</v>
      </c>
      <c r="X36" s="451"/>
      <c r="Y36" s="448"/>
      <c r="Z36" s="448"/>
      <c r="AA36" s="448"/>
      <c r="AB36" s="450"/>
      <c r="AC36" s="441" t="s">
        <v>736</v>
      </c>
      <c r="AD36" s="450" t="s">
        <v>530</v>
      </c>
      <c r="AE36" s="452">
        <v>9</v>
      </c>
      <c r="AF36" s="453">
        <v>9</v>
      </c>
      <c r="AG36" s="453">
        <v>9</v>
      </c>
      <c r="AH36" s="453">
        <v>9</v>
      </c>
      <c r="AI36" s="453">
        <v>9</v>
      </c>
      <c r="AJ36" s="453">
        <v>9</v>
      </c>
      <c r="AK36" s="453">
        <v>9</v>
      </c>
      <c r="AL36" s="453">
        <v>9</v>
      </c>
      <c r="AM36" s="454">
        <v>9</v>
      </c>
      <c r="AN36" s="452">
        <v>2</v>
      </c>
      <c r="AO36" s="453">
        <v>2</v>
      </c>
      <c r="AP36" s="453">
        <v>2</v>
      </c>
      <c r="AQ36" s="453">
        <v>2</v>
      </c>
      <c r="AR36" s="454">
        <v>2</v>
      </c>
      <c r="AS36" s="441" t="s">
        <v>765</v>
      </c>
      <c r="AT36" s="442" t="s">
        <v>361</v>
      </c>
      <c r="AU36" s="443" t="s">
        <v>329</v>
      </c>
      <c r="AV36" s="443" t="s">
        <v>329</v>
      </c>
      <c r="AW36" s="443" t="s">
        <v>329</v>
      </c>
      <c r="AX36" s="443" t="s">
        <v>329</v>
      </c>
      <c r="AY36" s="443" t="s">
        <v>329</v>
      </c>
      <c r="AZ36" s="443" t="s">
        <v>329</v>
      </c>
      <c r="BA36" s="444" t="s">
        <v>329</v>
      </c>
      <c r="BB36" s="445"/>
      <c r="BC36" s="443"/>
      <c r="BD36" s="443"/>
      <c r="BE36" s="443"/>
      <c r="BF36" s="444"/>
      <c r="BG36" s="452"/>
      <c r="BH36" s="446" t="s">
        <v>526</v>
      </c>
      <c r="BI36" s="444"/>
      <c r="BJ36" s="455" t="s">
        <v>586</v>
      </c>
      <c r="BK36" s="446" t="s">
        <v>551</v>
      </c>
      <c r="BL36" s="451" t="s">
        <v>322</v>
      </c>
      <c r="BM36" s="448" t="s">
        <v>322</v>
      </c>
      <c r="BN36" s="448" t="s">
        <v>322</v>
      </c>
      <c r="BO36" s="448" t="s">
        <v>322</v>
      </c>
      <c r="BP36" s="450" t="s">
        <v>322</v>
      </c>
      <c r="BQ36" s="446" t="s">
        <v>587</v>
      </c>
      <c r="BR36" s="443" t="s">
        <v>588</v>
      </c>
      <c r="BS36" s="444"/>
      <c r="BT36" s="448" t="s">
        <v>524</v>
      </c>
      <c r="BU36" s="450" t="s">
        <v>551</v>
      </c>
      <c r="BV36" s="451" t="s">
        <v>452</v>
      </c>
      <c r="BW36" s="448" t="s">
        <v>452</v>
      </c>
      <c r="BX36" s="448" t="s">
        <v>481</v>
      </c>
      <c r="BY36" s="448" t="s">
        <v>426</v>
      </c>
      <c r="BZ36" s="450" t="s">
        <v>452</v>
      </c>
      <c r="CA36" s="451" t="s">
        <v>322</v>
      </c>
      <c r="CB36" s="448" t="s">
        <v>322</v>
      </c>
      <c r="CC36" s="448" t="s">
        <v>322</v>
      </c>
      <c r="CD36" s="448" t="s">
        <v>322</v>
      </c>
      <c r="CE36" s="448" t="s">
        <v>322</v>
      </c>
      <c r="CF36" s="451" t="s">
        <v>324</v>
      </c>
      <c r="CG36" s="448" t="s">
        <v>324</v>
      </c>
      <c r="CH36" s="450" t="s">
        <v>324</v>
      </c>
      <c r="CI36" s="413" t="s">
        <v>705</v>
      </c>
      <c r="CJ36" s="402" t="s">
        <v>339</v>
      </c>
      <c r="CK36" s="451" t="s">
        <v>706</v>
      </c>
    </row>
    <row r="37" spans="1:89" ht="9.75" thickBot="1">
      <c r="A37" s="394" t="s">
        <v>527</v>
      </c>
      <c r="K37" s="420" t="s">
        <v>767</v>
      </c>
      <c r="BT37" s="457"/>
      <c r="BU37" s="457"/>
      <c r="BV37" s="458"/>
      <c r="BW37" s="457"/>
      <c r="BX37" s="457"/>
      <c r="BY37" s="457"/>
      <c r="BZ37" s="459"/>
      <c r="CA37" s="458"/>
      <c r="CB37" s="457"/>
      <c r="CC37" s="457"/>
      <c r="CD37" s="457"/>
      <c r="CE37" s="457"/>
      <c r="CF37" s="460"/>
      <c r="CG37" s="461"/>
      <c r="CH37" s="462"/>
      <c r="CI37" s="440" t="s">
        <v>707</v>
      </c>
      <c r="CJ37" s="463"/>
      <c r="CK37" s="464"/>
    </row>
    <row r="38" spans="63:89" ht="9.75" thickBot="1">
      <c r="BK38" s="465"/>
      <c r="BL38" s="466" t="s">
        <v>388</v>
      </c>
      <c r="BM38" s="467" t="s">
        <v>334</v>
      </c>
      <c r="BN38" s="468" t="s">
        <v>335</v>
      </c>
      <c r="BO38" s="468" t="s">
        <v>336</v>
      </c>
      <c r="BP38" s="468" t="s">
        <v>337</v>
      </c>
      <c r="BQ38" s="466" t="s">
        <v>337</v>
      </c>
      <c r="BR38" s="469"/>
      <c r="BS38" s="470" t="s">
        <v>390</v>
      </c>
      <c r="BT38" s="471"/>
      <c r="BU38" s="471"/>
      <c r="BV38" s="472"/>
      <c r="BW38" s="471"/>
      <c r="BX38" s="471"/>
      <c r="BY38" s="471"/>
      <c r="BZ38" s="473"/>
      <c r="CA38" s="472"/>
      <c r="CB38" s="471"/>
      <c r="CC38" s="471"/>
      <c r="CD38" s="471"/>
      <c r="CE38" s="471"/>
      <c r="CF38" s="472"/>
      <c r="CG38" s="471"/>
      <c r="CH38" s="473"/>
      <c r="CI38" s="474" t="s">
        <v>708</v>
      </c>
      <c r="CJ38" s="475"/>
      <c r="CK38" s="471"/>
    </row>
    <row r="39" spans="1:10" ht="9.75" thickBot="1">
      <c r="A39" s="394" t="s">
        <v>384</v>
      </c>
      <c r="B39" s="398" t="s">
        <v>385</v>
      </c>
      <c r="C39" s="400" t="s">
        <v>327</v>
      </c>
      <c r="D39" s="401" t="s">
        <v>327</v>
      </c>
      <c r="E39" s="401" t="s">
        <v>327</v>
      </c>
      <c r="F39" s="401" t="s">
        <v>327</v>
      </c>
      <c r="G39" s="401" t="s">
        <v>327</v>
      </c>
      <c r="H39" s="401" t="s">
        <v>327</v>
      </c>
      <c r="I39" s="401" t="s">
        <v>327</v>
      </c>
      <c r="J39" s="476" t="s">
        <v>386</v>
      </c>
    </row>
    <row r="40" spans="2:89" s="396" customFormat="1" ht="13.5" thickBot="1">
      <c r="B40" s="477" t="s">
        <v>416</v>
      </c>
      <c r="C40" s="479" t="s">
        <v>144</v>
      </c>
      <c r="D40" s="480"/>
      <c r="E40" s="480"/>
      <c r="F40" s="480"/>
      <c r="G40" s="480"/>
      <c r="H40" s="480"/>
      <c r="I40" s="480"/>
      <c r="J40" s="480"/>
      <c r="K40" s="481" t="s">
        <v>768</v>
      </c>
      <c r="L40" s="477" t="s">
        <v>769</v>
      </c>
      <c r="M40" s="482"/>
      <c r="N40" s="483"/>
      <c r="O40" s="484"/>
      <c r="P40" s="484" t="s">
        <v>144</v>
      </c>
      <c r="Q40" s="484"/>
      <c r="R40" s="484"/>
      <c r="S40" s="484"/>
      <c r="T40" s="484"/>
      <c r="U40" s="485"/>
      <c r="V40" s="484"/>
      <c r="W40" s="486"/>
      <c r="X40" s="487"/>
      <c r="Y40" s="484" t="s">
        <v>377</v>
      </c>
      <c r="Z40" s="484"/>
      <c r="AA40" s="484"/>
      <c r="AB40" s="486"/>
      <c r="AC40" s="477" t="s">
        <v>770</v>
      </c>
      <c r="AD40" s="483"/>
      <c r="AE40" s="488" t="s">
        <v>141</v>
      </c>
      <c r="AF40" s="484"/>
      <c r="AG40" s="484"/>
      <c r="AH40" s="484"/>
      <c r="AI40" s="484"/>
      <c r="AJ40" s="484"/>
      <c r="AK40" s="484"/>
      <c r="AL40" s="484"/>
      <c r="AM40" s="486"/>
      <c r="AN40" s="487"/>
      <c r="AO40" s="484" t="s">
        <v>377</v>
      </c>
      <c r="AP40" s="484"/>
      <c r="AQ40" s="484"/>
      <c r="AR40" s="486"/>
      <c r="AS40" s="489" t="s">
        <v>766</v>
      </c>
      <c r="AT40" s="490" t="s">
        <v>140</v>
      </c>
      <c r="AU40" s="491" t="s">
        <v>141</v>
      </c>
      <c r="AV40" s="491"/>
      <c r="AW40" s="491"/>
      <c r="AX40" s="491"/>
      <c r="AY40" s="491"/>
      <c r="AZ40" s="491"/>
      <c r="BA40" s="492"/>
      <c r="BB40" s="493" t="s">
        <v>377</v>
      </c>
      <c r="BC40" s="491"/>
      <c r="BD40" s="491"/>
      <c r="BE40" s="491"/>
      <c r="BF40" s="492"/>
      <c r="BG40" s="487"/>
      <c r="BH40" s="494"/>
      <c r="BI40" s="495"/>
      <c r="BJ40" s="496" t="s">
        <v>771</v>
      </c>
      <c r="BK40" s="486"/>
      <c r="BL40" s="487"/>
      <c r="BM40" s="484"/>
      <c r="BN40" s="484"/>
      <c r="BO40" s="484"/>
      <c r="BP40" s="486"/>
      <c r="BQ40" s="497"/>
      <c r="BR40" s="498"/>
      <c r="BS40" s="499"/>
      <c r="BT40" s="500" t="s">
        <v>772</v>
      </c>
      <c r="BU40" s="501"/>
      <c r="BV40" s="502" t="s">
        <v>70</v>
      </c>
      <c r="BW40" s="503"/>
      <c r="BX40" s="503"/>
      <c r="BY40" s="503"/>
      <c r="BZ40" s="504"/>
      <c r="CA40" s="505"/>
      <c r="CB40" s="506" t="s">
        <v>377</v>
      </c>
      <c r="CC40" s="503"/>
      <c r="CD40" s="503"/>
      <c r="CE40" s="507"/>
      <c r="CF40" s="502" t="s">
        <v>682</v>
      </c>
      <c r="CG40" s="507"/>
      <c r="CH40" s="508"/>
      <c r="CI40" s="509" t="s">
        <v>683</v>
      </c>
      <c r="CJ40" s="510" t="s">
        <v>684</v>
      </c>
      <c r="CK40" s="511" t="s">
        <v>685</v>
      </c>
    </row>
    <row r="41" spans="1:89" s="523" customFormat="1" ht="13.5" customHeight="1" thickBot="1">
      <c r="A41" s="397" t="s">
        <v>139</v>
      </c>
      <c r="B41" s="512" t="s">
        <v>94</v>
      </c>
      <c r="C41" s="513" t="s">
        <v>145</v>
      </c>
      <c r="D41" s="514" t="s">
        <v>146</v>
      </c>
      <c r="E41" s="514" t="s">
        <v>147</v>
      </c>
      <c r="F41" s="514" t="s">
        <v>153</v>
      </c>
      <c r="G41" s="514" t="s">
        <v>148</v>
      </c>
      <c r="H41" s="514" t="s">
        <v>149</v>
      </c>
      <c r="I41" s="514" t="s">
        <v>150</v>
      </c>
      <c r="J41" s="514" t="s">
        <v>151</v>
      </c>
      <c r="K41" s="515" t="s">
        <v>140</v>
      </c>
      <c r="L41" s="516" t="s">
        <v>94</v>
      </c>
      <c r="M41" s="494" t="s">
        <v>140</v>
      </c>
      <c r="N41" s="480" t="s">
        <v>145</v>
      </c>
      <c r="O41" s="480" t="s">
        <v>589</v>
      </c>
      <c r="P41" s="480" t="s">
        <v>148</v>
      </c>
      <c r="Q41" s="480" t="s">
        <v>529</v>
      </c>
      <c r="R41" s="480" t="s">
        <v>150</v>
      </c>
      <c r="S41" s="480" t="s">
        <v>151</v>
      </c>
      <c r="T41" s="480" t="s">
        <v>590</v>
      </c>
      <c r="U41" s="478" t="s">
        <v>152</v>
      </c>
      <c r="V41" s="480" t="s">
        <v>591</v>
      </c>
      <c r="W41" s="517" t="s">
        <v>592</v>
      </c>
      <c r="X41" s="518" t="s">
        <v>378</v>
      </c>
      <c r="Y41" s="480" t="s">
        <v>379</v>
      </c>
      <c r="Z41" s="480" t="s">
        <v>380</v>
      </c>
      <c r="AA41" s="480" t="s">
        <v>381</v>
      </c>
      <c r="AB41" s="517" t="s">
        <v>382</v>
      </c>
      <c r="AC41" s="519" t="s">
        <v>94</v>
      </c>
      <c r="AD41" s="515" t="s">
        <v>140</v>
      </c>
      <c r="AE41" s="513">
        <v>1</v>
      </c>
      <c r="AF41" s="514">
        <v>2</v>
      </c>
      <c r="AG41" s="514">
        <v>3</v>
      </c>
      <c r="AH41" s="514">
        <v>4</v>
      </c>
      <c r="AI41" s="514">
        <v>5</v>
      </c>
      <c r="AJ41" s="514">
        <v>6</v>
      </c>
      <c r="AK41" s="514">
        <v>7</v>
      </c>
      <c r="AL41" s="514">
        <v>8</v>
      </c>
      <c r="AM41" s="520">
        <v>9</v>
      </c>
      <c r="AN41" s="513" t="s">
        <v>378</v>
      </c>
      <c r="AO41" s="514" t="s">
        <v>379</v>
      </c>
      <c r="AP41" s="514" t="s">
        <v>380</v>
      </c>
      <c r="AQ41" s="514" t="s">
        <v>381</v>
      </c>
      <c r="AR41" s="520" t="s">
        <v>709</v>
      </c>
      <c r="AS41" s="521" t="s">
        <v>528</v>
      </c>
      <c r="AT41" s="522"/>
      <c r="AU41" s="523" t="s">
        <v>387</v>
      </c>
      <c r="AV41" s="523" t="s">
        <v>322</v>
      </c>
      <c r="AW41" s="523" t="s">
        <v>323</v>
      </c>
      <c r="AX41" s="523" t="s">
        <v>324</v>
      </c>
      <c r="AY41" s="523" t="s">
        <v>325</v>
      </c>
      <c r="AZ41" s="523" t="s">
        <v>326</v>
      </c>
      <c r="BA41" s="524" t="s">
        <v>327</v>
      </c>
      <c r="BB41" s="525" t="s">
        <v>378</v>
      </c>
      <c r="BC41" s="523" t="s">
        <v>379</v>
      </c>
      <c r="BD41" s="523" t="s">
        <v>380</v>
      </c>
      <c r="BE41" s="523" t="s">
        <v>381</v>
      </c>
      <c r="BF41" s="524" t="s">
        <v>382</v>
      </c>
      <c r="BG41" s="513" t="s">
        <v>710</v>
      </c>
      <c r="BH41" s="866" t="s">
        <v>383</v>
      </c>
      <c r="BI41" s="867"/>
      <c r="BJ41" s="527" t="s">
        <v>528</v>
      </c>
      <c r="BK41" s="515" t="s">
        <v>140</v>
      </c>
      <c r="BL41" s="526" t="s">
        <v>378</v>
      </c>
      <c r="BM41" s="528" t="s">
        <v>379</v>
      </c>
      <c r="BN41" s="528" t="s">
        <v>380</v>
      </c>
      <c r="BO41" s="528" t="s">
        <v>381</v>
      </c>
      <c r="BP41" s="515" t="s">
        <v>382</v>
      </c>
      <c r="BQ41" s="529" t="s">
        <v>536</v>
      </c>
      <c r="BR41" s="868" t="s">
        <v>383</v>
      </c>
      <c r="BS41" s="867"/>
      <c r="BT41" s="514" t="s">
        <v>528</v>
      </c>
      <c r="BU41" s="514" t="s">
        <v>140</v>
      </c>
      <c r="BV41" s="513" t="s">
        <v>148</v>
      </c>
      <c r="BW41" s="514" t="s">
        <v>529</v>
      </c>
      <c r="BX41" s="514" t="s">
        <v>150</v>
      </c>
      <c r="BY41" s="514" t="s">
        <v>686</v>
      </c>
      <c r="BZ41" s="520" t="s">
        <v>151</v>
      </c>
      <c r="CA41" s="513" t="s">
        <v>378</v>
      </c>
      <c r="CB41" s="514" t="s">
        <v>379</v>
      </c>
      <c r="CC41" s="514" t="s">
        <v>380</v>
      </c>
      <c r="CD41" s="514" t="s">
        <v>381</v>
      </c>
      <c r="CE41" s="514" t="s">
        <v>382</v>
      </c>
      <c r="CF41" s="513" t="s">
        <v>387</v>
      </c>
      <c r="CG41" s="514" t="s">
        <v>322</v>
      </c>
      <c r="CH41" s="520" t="s">
        <v>323</v>
      </c>
      <c r="CI41" s="520" t="s">
        <v>687</v>
      </c>
      <c r="CJ41" s="530" t="s">
        <v>688</v>
      </c>
      <c r="CK41" s="514" t="s">
        <v>689</v>
      </c>
    </row>
    <row r="51" ht="9.75" thickBot="1"/>
    <row r="52" spans="13:28" ht="9">
      <c r="M52" s="531" t="s">
        <v>596</v>
      </c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2"/>
    </row>
    <row r="53" spans="13:28" ht="9.75" thickBot="1">
      <c r="M53" s="414" t="s">
        <v>387</v>
      </c>
      <c r="N53" s="457" t="s">
        <v>323</v>
      </c>
      <c r="O53" s="457" t="s">
        <v>324</v>
      </c>
      <c r="P53" s="457" t="s">
        <v>325</v>
      </c>
      <c r="Q53" s="457" t="s">
        <v>326</v>
      </c>
      <c r="R53" s="457" t="s">
        <v>327</v>
      </c>
      <c r="S53" s="457" t="s">
        <v>328</v>
      </c>
      <c r="T53" s="457" t="s">
        <v>737</v>
      </c>
      <c r="U53" s="457" t="s">
        <v>738</v>
      </c>
      <c r="V53" s="457" t="s">
        <v>739</v>
      </c>
      <c r="W53" s="457" t="s">
        <v>740</v>
      </c>
      <c r="X53" s="457" t="s">
        <v>353</v>
      </c>
      <c r="Y53" s="457" t="s">
        <v>354</v>
      </c>
      <c r="Z53" s="457" t="s">
        <v>355</v>
      </c>
      <c r="AA53" s="457" t="s">
        <v>357</v>
      </c>
      <c r="AB53" s="459" t="s">
        <v>741</v>
      </c>
    </row>
    <row r="54" spans="13:28" ht="9">
      <c r="M54" s="532" t="s">
        <v>327</v>
      </c>
      <c r="N54" s="417" t="s">
        <v>742</v>
      </c>
      <c r="O54" s="417" t="s">
        <v>596</v>
      </c>
      <c r="P54" s="417" t="s">
        <v>596</v>
      </c>
      <c r="Q54" s="417" t="s">
        <v>596</v>
      </c>
      <c r="R54" s="417" t="s">
        <v>596</v>
      </c>
      <c r="S54" s="417" t="s">
        <v>596</v>
      </c>
      <c r="T54" s="417" t="s">
        <v>596</v>
      </c>
      <c r="U54" s="417" t="s">
        <v>599</v>
      </c>
      <c r="V54" s="417" t="s">
        <v>599</v>
      </c>
      <c r="W54" s="417" t="s">
        <v>599</v>
      </c>
      <c r="X54" s="417" t="s">
        <v>599</v>
      </c>
      <c r="Y54" s="417" t="s">
        <v>599</v>
      </c>
      <c r="Z54" s="417" t="s">
        <v>602</v>
      </c>
      <c r="AA54" s="417" t="s">
        <v>602</v>
      </c>
      <c r="AB54" s="418" t="s">
        <v>602</v>
      </c>
    </row>
    <row r="55" spans="13:28" ht="9">
      <c r="M55" s="414" t="s">
        <v>329</v>
      </c>
      <c r="N55" s="401" t="s">
        <v>742</v>
      </c>
      <c r="O55" s="401" t="s">
        <v>742</v>
      </c>
      <c r="P55" s="401" t="s">
        <v>596</v>
      </c>
      <c r="Q55" s="401" t="s">
        <v>596</v>
      </c>
      <c r="R55" s="401" t="s">
        <v>596</v>
      </c>
      <c r="S55" s="401" t="s">
        <v>596</v>
      </c>
      <c r="T55" s="401" t="s">
        <v>596</v>
      </c>
      <c r="U55" s="401" t="s">
        <v>596</v>
      </c>
      <c r="V55" s="401" t="s">
        <v>599</v>
      </c>
      <c r="W55" s="401" t="s">
        <v>599</v>
      </c>
      <c r="X55" s="401" t="s">
        <v>599</v>
      </c>
      <c r="Y55" s="401" t="s">
        <v>599</v>
      </c>
      <c r="Z55" s="401" t="s">
        <v>599</v>
      </c>
      <c r="AA55" s="401" t="s">
        <v>602</v>
      </c>
      <c r="AB55" s="404" t="s">
        <v>602</v>
      </c>
    </row>
    <row r="56" spans="13:28" ht="9">
      <c r="M56" s="414" t="s">
        <v>331</v>
      </c>
      <c r="N56" s="401" t="s">
        <v>327</v>
      </c>
      <c r="O56" s="401" t="s">
        <v>742</v>
      </c>
      <c r="P56" s="401" t="s">
        <v>742</v>
      </c>
      <c r="Q56" s="401" t="s">
        <v>596</v>
      </c>
      <c r="R56" s="401" t="s">
        <v>596</v>
      </c>
      <c r="S56" s="401" t="s">
        <v>596</v>
      </c>
      <c r="T56" s="401" t="s">
        <v>596</v>
      </c>
      <c r="U56" s="401" t="s">
        <v>596</v>
      </c>
      <c r="V56" s="401" t="s">
        <v>596</v>
      </c>
      <c r="W56" s="401" t="s">
        <v>599</v>
      </c>
      <c r="X56" s="401" t="s">
        <v>599</v>
      </c>
      <c r="Y56" s="401" t="s">
        <v>599</v>
      </c>
      <c r="Z56" s="401" t="s">
        <v>599</v>
      </c>
      <c r="AA56" s="401" t="s">
        <v>599</v>
      </c>
      <c r="AB56" s="404" t="s">
        <v>602</v>
      </c>
    </row>
    <row r="57" spans="13:28" ht="9">
      <c r="M57" s="414" t="s">
        <v>369</v>
      </c>
      <c r="N57" s="401" t="s">
        <v>329</v>
      </c>
      <c r="O57" s="401" t="s">
        <v>327</v>
      </c>
      <c r="P57" s="401" t="s">
        <v>742</v>
      </c>
      <c r="Q57" s="401" t="s">
        <v>742</v>
      </c>
      <c r="R57" s="401" t="s">
        <v>596</v>
      </c>
      <c r="S57" s="401" t="s">
        <v>596</v>
      </c>
      <c r="T57" s="401" t="s">
        <v>596</v>
      </c>
      <c r="U57" s="401" t="s">
        <v>596</v>
      </c>
      <c r="V57" s="401" t="s">
        <v>596</v>
      </c>
      <c r="W57" s="401" t="s">
        <v>596</v>
      </c>
      <c r="X57" s="401" t="s">
        <v>599</v>
      </c>
      <c r="Y57" s="401" t="s">
        <v>599</v>
      </c>
      <c r="Z57" s="401" t="s">
        <v>599</v>
      </c>
      <c r="AA57" s="401" t="s">
        <v>599</v>
      </c>
      <c r="AB57" s="404" t="s">
        <v>599</v>
      </c>
    </row>
    <row r="58" spans="13:28" ht="9">
      <c r="M58" s="414" t="s">
        <v>369</v>
      </c>
      <c r="N58" s="401" t="s">
        <v>331</v>
      </c>
      <c r="O58" s="401" t="s">
        <v>329</v>
      </c>
      <c r="P58" s="401" t="s">
        <v>327</v>
      </c>
      <c r="Q58" s="401" t="s">
        <v>742</v>
      </c>
      <c r="R58" s="401" t="s">
        <v>742</v>
      </c>
      <c r="S58" s="401" t="s">
        <v>596</v>
      </c>
      <c r="T58" s="401" t="s">
        <v>596</v>
      </c>
      <c r="U58" s="401" t="s">
        <v>596</v>
      </c>
      <c r="V58" s="401" t="s">
        <v>596</v>
      </c>
      <c r="W58" s="401" t="s">
        <v>596</v>
      </c>
      <c r="X58" s="401" t="s">
        <v>596</v>
      </c>
      <c r="Y58" s="401" t="s">
        <v>599</v>
      </c>
      <c r="Z58" s="401" t="s">
        <v>599</v>
      </c>
      <c r="AA58" s="401" t="s">
        <v>599</v>
      </c>
      <c r="AB58" s="404" t="s">
        <v>599</v>
      </c>
    </row>
    <row r="59" spans="13:28" ht="9">
      <c r="M59" s="414" t="s">
        <v>369</v>
      </c>
      <c r="N59" s="401" t="s">
        <v>369</v>
      </c>
      <c r="O59" s="401" t="s">
        <v>331</v>
      </c>
      <c r="P59" s="401" t="s">
        <v>329</v>
      </c>
      <c r="Q59" s="401" t="s">
        <v>327</v>
      </c>
      <c r="R59" s="401" t="s">
        <v>742</v>
      </c>
      <c r="S59" s="401" t="s">
        <v>742</v>
      </c>
      <c r="T59" s="401" t="s">
        <v>596</v>
      </c>
      <c r="U59" s="401" t="s">
        <v>596</v>
      </c>
      <c r="V59" s="401" t="s">
        <v>596</v>
      </c>
      <c r="W59" s="401" t="s">
        <v>596</v>
      </c>
      <c r="X59" s="401" t="s">
        <v>596</v>
      </c>
      <c r="Y59" s="401" t="s">
        <v>596</v>
      </c>
      <c r="Z59" s="401" t="s">
        <v>599</v>
      </c>
      <c r="AA59" s="401" t="s">
        <v>599</v>
      </c>
      <c r="AB59" s="404" t="s">
        <v>599</v>
      </c>
    </row>
    <row r="60" spans="13:28" ht="9">
      <c r="M60" s="414" t="s">
        <v>369</v>
      </c>
      <c r="N60" s="401" t="s">
        <v>369</v>
      </c>
      <c r="O60" s="401" t="s">
        <v>369</v>
      </c>
      <c r="P60" s="401" t="s">
        <v>331</v>
      </c>
      <c r="Q60" s="401" t="s">
        <v>329</v>
      </c>
      <c r="R60" s="401" t="s">
        <v>327</v>
      </c>
      <c r="S60" s="401" t="s">
        <v>742</v>
      </c>
      <c r="T60" s="401" t="s">
        <v>742</v>
      </c>
      <c r="U60" s="401" t="s">
        <v>596</v>
      </c>
      <c r="V60" s="401" t="s">
        <v>596</v>
      </c>
      <c r="W60" s="401" t="s">
        <v>596</v>
      </c>
      <c r="X60" s="401" t="s">
        <v>596</v>
      </c>
      <c r="Y60" s="401" t="s">
        <v>596</v>
      </c>
      <c r="Z60" s="401" t="s">
        <v>596</v>
      </c>
      <c r="AA60" s="401" t="s">
        <v>599</v>
      </c>
      <c r="AB60" s="404" t="s">
        <v>599</v>
      </c>
    </row>
    <row r="61" spans="13:28" ht="9">
      <c r="M61" s="414" t="s">
        <v>369</v>
      </c>
      <c r="N61" s="401" t="s">
        <v>369</v>
      </c>
      <c r="O61" s="401" t="s">
        <v>369</v>
      </c>
      <c r="P61" s="401" t="s">
        <v>369</v>
      </c>
      <c r="Q61" s="401" t="s">
        <v>331</v>
      </c>
      <c r="R61" s="401" t="s">
        <v>329</v>
      </c>
      <c r="S61" s="401" t="s">
        <v>327</v>
      </c>
      <c r="T61" s="401" t="s">
        <v>742</v>
      </c>
      <c r="U61" s="401" t="s">
        <v>742</v>
      </c>
      <c r="V61" s="401" t="s">
        <v>596</v>
      </c>
      <c r="W61" s="401" t="s">
        <v>596</v>
      </c>
      <c r="X61" s="401" t="s">
        <v>596</v>
      </c>
      <c r="Y61" s="401" t="s">
        <v>596</v>
      </c>
      <c r="Z61" s="401" t="s">
        <v>596</v>
      </c>
      <c r="AA61" s="401" t="s">
        <v>596</v>
      </c>
      <c r="AB61" s="404" t="s">
        <v>599</v>
      </c>
    </row>
    <row r="62" spans="13:28" ht="9">
      <c r="M62" s="414" t="s">
        <v>369</v>
      </c>
      <c r="N62" s="401" t="s">
        <v>369</v>
      </c>
      <c r="O62" s="401" t="s">
        <v>369</v>
      </c>
      <c r="P62" s="401" t="s">
        <v>369</v>
      </c>
      <c r="Q62" s="401" t="s">
        <v>369</v>
      </c>
      <c r="R62" s="401" t="s">
        <v>331</v>
      </c>
      <c r="S62" s="401" t="s">
        <v>329</v>
      </c>
      <c r="T62" s="401" t="s">
        <v>327</v>
      </c>
      <c r="U62" s="401" t="s">
        <v>742</v>
      </c>
      <c r="V62" s="401" t="s">
        <v>742</v>
      </c>
      <c r="W62" s="401" t="s">
        <v>596</v>
      </c>
      <c r="X62" s="401" t="s">
        <v>596</v>
      </c>
      <c r="Y62" s="401" t="s">
        <v>596</v>
      </c>
      <c r="Z62" s="401" t="s">
        <v>596</v>
      </c>
      <c r="AA62" s="401" t="s">
        <v>596</v>
      </c>
      <c r="AB62" s="404" t="s">
        <v>596</v>
      </c>
    </row>
    <row r="63" spans="13:28" ht="9">
      <c r="M63" s="414" t="s">
        <v>369</v>
      </c>
      <c r="N63" s="401" t="s">
        <v>369</v>
      </c>
      <c r="O63" s="401" t="s">
        <v>369</v>
      </c>
      <c r="P63" s="401" t="s">
        <v>369</v>
      </c>
      <c r="Q63" s="401" t="s">
        <v>369</v>
      </c>
      <c r="R63" s="401" t="s">
        <v>369</v>
      </c>
      <c r="S63" s="401" t="s">
        <v>331</v>
      </c>
      <c r="T63" s="401" t="s">
        <v>329</v>
      </c>
      <c r="U63" s="401" t="s">
        <v>327</v>
      </c>
      <c r="V63" s="401" t="s">
        <v>742</v>
      </c>
      <c r="W63" s="401" t="s">
        <v>742</v>
      </c>
      <c r="X63" s="401"/>
      <c r="Y63" s="401" t="s">
        <v>596</v>
      </c>
      <c r="Z63" s="401" t="s">
        <v>596</v>
      </c>
      <c r="AA63" s="401" t="s">
        <v>596</v>
      </c>
      <c r="AB63" s="404" t="s">
        <v>596</v>
      </c>
    </row>
    <row r="64" spans="13:28" ht="9">
      <c r="M64" s="414" t="s">
        <v>369</v>
      </c>
      <c r="N64" s="401" t="s">
        <v>369</v>
      </c>
      <c r="O64" s="401" t="s">
        <v>369</v>
      </c>
      <c r="P64" s="401" t="s">
        <v>369</v>
      </c>
      <c r="Q64" s="401" t="s">
        <v>369</v>
      </c>
      <c r="R64" s="401" t="s">
        <v>369</v>
      </c>
      <c r="S64" s="401" t="s">
        <v>369</v>
      </c>
      <c r="T64" s="401" t="s">
        <v>331</v>
      </c>
      <c r="U64" s="401" t="s">
        <v>329</v>
      </c>
      <c r="V64" s="401" t="s">
        <v>327</v>
      </c>
      <c r="W64" s="401" t="s">
        <v>742</v>
      </c>
      <c r="X64" s="401" t="s">
        <v>742</v>
      </c>
      <c r="Y64" s="401" t="s">
        <v>596</v>
      </c>
      <c r="Z64" s="401" t="s">
        <v>596</v>
      </c>
      <c r="AA64" s="401" t="s">
        <v>596</v>
      </c>
      <c r="AB64" s="404" t="s">
        <v>596</v>
      </c>
    </row>
    <row r="65" spans="13:28" ht="9">
      <c r="M65" s="414" t="s">
        <v>369</v>
      </c>
      <c r="N65" s="401" t="s">
        <v>369</v>
      </c>
      <c r="O65" s="401" t="s">
        <v>369</v>
      </c>
      <c r="P65" s="401" t="s">
        <v>369</v>
      </c>
      <c r="Q65" s="401" t="s">
        <v>369</v>
      </c>
      <c r="R65" s="401" t="s">
        <v>369</v>
      </c>
      <c r="S65" s="401" t="s">
        <v>369</v>
      </c>
      <c r="T65" s="401" t="s">
        <v>369</v>
      </c>
      <c r="U65" s="401" t="s">
        <v>331</v>
      </c>
      <c r="V65" s="401" t="s">
        <v>329</v>
      </c>
      <c r="W65" s="401" t="s">
        <v>327</v>
      </c>
      <c r="X65" s="401" t="s">
        <v>742</v>
      </c>
      <c r="Y65" s="401" t="s">
        <v>742</v>
      </c>
      <c r="Z65" s="401" t="s">
        <v>596</v>
      </c>
      <c r="AA65" s="401" t="s">
        <v>596</v>
      </c>
      <c r="AB65" s="404" t="s">
        <v>596</v>
      </c>
    </row>
    <row r="66" spans="13:28" ht="9">
      <c r="M66" s="414" t="s">
        <v>369</v>
      </c>
      <c r="N66" s="401" t="s">
        <v>369</v>
      </c>
      <c r="O66" s="401" t="s">
        <v>369</v>
      </c>
      <c r="P66" s="401" t="s">
        <v>369</v>
      </c>
      <c r="Q66" s="401" t="s">
        <v>369</v>
      </c>
      <c r="R66" s="401" t="s">
        <v>369</v>
      </c>
      <c r="S66" s="401" t="s">
        <v>369</v>
      </c>
      <c r="T66" s="401" t="s">
        <v>369</v>
      </c>
      <c r="U66" s="401" t="s">
        <v>369</v>
      </c>
      <c r="V66" s="401" t="s">
        <v>331</v>
      </c>
      <c r="W66" s="401" t="s">
        <v>329</v>
      </c>
      <c r="X66" s="401" t="s">
        <v>327</v>
      </c>
      <c r="Y66" s="401" t="s">
        <v>742</v>
      </c>
      <c r="Z66" s="401" t="s">
        <v>742</v>
      </c>
      <c r="AA66" s="401" t="s">
        <v>742</v>
      </c>
      <c r="AB66" s="404" t="s">
        <v>742</v>
      </c>
    </row>
    <row r="67" spans="13:28" ht="9.75" thickBot="1">
      <c r="M67" s="455" t="s">
        <v>369</v>
      </c>
      <c r="N67" s="448" t="s">
        <v>369</v>
      </c>
      <c r="O67" s="448" t="s">
        <v>369</v>
      </c>
      <c r="P67" s="448" t="s">
        <v>369</v>
      </c>
      <c r="Q67" s="448" t="s">
        <v>369</v>
      </c>
      <c r="R67" s="448" t="s">
        <v>369</v>
      </c>
      <c r="S67" s="448" t="s">
        <v>369</v>
      </c>
      <c r="T67" s="448" t="s">
        <v>369</v>
      </c>
      <c r="U67" s="448" t="s">
        <v>369</v>
      </c>
      <c r="V67" s="448" t="s">
        <v>369</v>
      </c>
      <c r="W67" s="448" t="s">
        <v>331</v>
      </c>
      <c r="X67" s="448" t="s">
        <v>329</v>
      </c>
      <c r="Y67" s="448" t="s">
        <v>327</v>
      </c>
      <c r="Z67" s="448" t="s">
        <v>742</v>
      </c>
      <c r="AA67" s="448" t="s">
        <v>742</v>
      </c>
      <c r="AB67" s="450" t="s">
        <v>742</v>
      </c>
    </row>
    <row r="68" spans="1:17" ht="9.75" thickBot="1">
      <c r="A68" s="394">
        <f>'Record Sheet'!F4</f>
        <v>0</v>
      </c>
      <c r="B68" s="398">
        <f>'Record Sheet'!W4</f>
        <v>0</v>
      </c>
      <c r="C68" s="479" t="s">
        <v>144</v>
      </c>
      <c r="D68" s="480"/>
      <c r="E68" s="480"/>
      <c r="F68" s="480"/>
      <c r="G68" s="480"/>
      <c r="H68" s="480"/>
      <c r="I68" s="480"/>
      <c r="J68" s="480"/>
      <c r="M68" s="487"/>
      <c r="N68" s="484" t="s">
        <v>377</v>
      </c>
      <c r="O68" s="484"/>
      <c r="P68" s="484"/>
      <c r="Q68" s="486"/>
    </row>
    <row r="69" spans="3:17" ht="9.75" thickBot="1">
      <c r="C69" s="513" t="s">
        <v>145</v>
      </c>
      <c r="D69" s="514" t="s">
        <v>146</v>
      </c>
      <c r="E69" s="514" t="s">
        <v>147</v>
      </c>
      <c r="F69" s="514" t="s">
        <v>153</v>
      </c>
      <c r="G69" s="514" t="s">
        <v>148</v>
      </c>
      <c r="H69" s="514" t="s">
        <v>529</v>
      </c>
      <c r="I69" s="514" t="s">
        <v>150</v>
      </c>
      <c r="J69" s="514" t="s">
        <v>151</v>
      </c>
      <c r="K69" s="533" t="s">
        <v>152</v>
      </c>
      <c r="M69" s="518" t="s">
        <v>378</v>
      </c>
      <c r="N69" s="480" t="s">
        <v>379</v>
      </c>
      <c r="O69" s="480" t="s">
        <v>380</v>
      </c>
      <c r="P69" s="480" t="s">
        <v>381</v>
      </c>
      <c r="Q69" s="517" t="s">
        <v>382</v>
      </c>
    </row>
  </sheetData>
  <mergeCells count="2">
    <mergeCell ref="BH41:BI41"/>
    <mergeCell ref="BR41:BS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fghdfgh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</cp:lastModifiedBy>
  <cp:lastPrinted>2006-04-21T03:06:15Z</cp:lastPrinted>
  <dcterms:created xsi:type="dcterms:W3CDTF">2002-12-07T05:26:50Z</dcterms:created>
  <dcterms:modified xsi:type="dcterms:W3CDTF">2016-05-17T11:09:29Z</dcterms:modified>
  <cp:category/>
  <cp:version/>
  <cp:contentType/>
  <cp:contentStatus/>
</cp:coreProperties>
</file>