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ir\Documents\fantasy adventure games\"/>
    </mc:Choice>
  </mc:AlternateContent>
  <xr:revisionPtr revIDLastSave="0" documentId="13_ncr:1_{084F6702-EF30-452A-A93A-5E3362B68743}" xr6:coauthVersionLast="47" xr6:coauthVersionMax="47" xr10:uidLastSave="{00000000-0000-0000-0000-000000000000}"/>
  <bookViews>
    <workbookView xWindow="-108" yWindow="-108" windowWidth="30936" windowHeight="18816" xr2:uid="{831AE97F-3AFA-42BE-B1D4-69F1DE65AAFD}"/>
  </bookViews>
  <sheets>
    <sheet name="Lair Treasures" sheetId="1" r:id="rId1"/>
    <sheet name="Spell Scrolls" sheetId="2" r:id="rId2"/>
    <sheet name="Armor" sheetId="3" r:id="rId3"/>
    <sheet name="Missile Weapons" sheetId="4" r:id="rId4"/>
    <sheet name="Swords" sheetId="5" r:id="rId5"/>
    <sheet name="Misc. Weapons" sheetId="6" r:id="rId6"/>
    <sheet name="power prob array" sheetId="7" r:id="rId7"/>
    <sheet name="concat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R7" i="1"/>
  <c r="Q7" i="1"/>
  <c r="K21" i="2"/>
  <c r="B21" i="2" s="1"/>
  <c r="L21" i="2"/>
  <c r="C21" i="2" s="1"/>
  <c r="M21" i="2"/>
  <c r="O21" i="2"/>
  <c r="Q21" i="2"/>
  <c r="K21" i="3"/>
  <c r="B21" i="3" s="1"/>
  <c r="L21" i="3"/>
  <c r="C21" i="3" s="1"/>
  <c r="M21" i="3"/>
  <c r="N21" i="3"/>
  <c r="O21" i="3"/>
  <c r="P21" i="3"/>
  <c r="Q21" i="3"/>
  <c r="R21" i="3"/>
  <c r="S21" i="3"/>
  <c r="G21" i="6"/>
  <c r="B21" i="6" s="1"/>
  <c r="H21" i="6"/>
  <c r="I21" i="6"/>
  <c r="J21" i="6"/>
  <c r="K21" i="6"/>
  <c r="N21" i="4"/>
  <c r="I21" i="4" s="1"/>
  <c r="O21" i="4"/>
  <c r="Q21" i="4"/>
  <c r="R21" i="4"/>
  <c r="S21" i="4"/>
  <c r="W21" i="4"/>
  <c r="V21" i="4" s="1"/>
  <c r="X21" i="4"/>
  <c r="BK67" i="5"/>
  <c r="BL67" i="5"/>
  <c r="BM67" i="5"/>
  <c r="BN67" i="5"/>
  <c r="BO67" i="5"/>
  <c r="BP67" i="5"/>
  <c r="BQ67" i="5"/>
  <c r="BR67" i="5"/>
  <c r="BS67" i="5"/>
  <c r="BT67" i="5"/>
  <c r="BU67" i="5"/>
  <c r="BV67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K75" i="5"/>
  <c r="BL75" i="5"/>
  <c r="BM75" i="5"/>
  <c r="BN75" i="5"/>
  <c r="BO75" i="5"/>
  <c r="BP75" i="5"/>
  <c r="BQ75" i="5"/>
  <c r="BR75" i="5"/>
  <c r="BS75" i="5"/>
  <c r="BT75" i="5"/>
  <c r="BU75" i="5"/>
  <c r="BV75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K89" i="5"/>
  <c r="BL89" i="5"/>
  <c r="BM89" i="5"/>
  <c r="BN89" i="5"/>
  <c r="BO89" i="5"/>
  <c r="BP89" i="5"/>
  <c r="BQ89" i="5"/>
  <c r="BR89" i="5"/>
  <c r="BS89" i="5"/>
  <c r="BT89" i="5"/>
  <c r="BU89" i="5"/>
  <c r="BV89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K93" i="5"/>
  <c r="BL93" i="5"/>
  <c r="BM93" i="5"/>
  <c r="BN93" i="5"/>
  <c r="BO93" i="5"/>
  <c r="BP93" i="5"/>
  <c r="BQ93" i="5"/>
  <c r="BR93" i="5"/>
  <c r="BS93" i="5"/>
  <c r="BT93" i="5"/>
  <c r="BU93" i="5"/>
  <c r="BV93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K95" i="5"/>
  <c r="BL95" i="5"/>
  <c r="BM95" i="5"/>
  <c r="BN95" i="5"/>
  <c r="BO95" i="5"/>
  <c r="BP95" i="5"/>
  <c r="BQ95" i="5"/>
  <c r="BR95" i="5"/>
  <c r="BS95" i="5"/>
  <c r="BT95" i="5"/>
  <c r="BU95" i="5"/>
  <c r="BV95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X101" i="5"/>
  <c r="B101" i="5" s="1"/>
  <c r="Y101" i="5"/>
  <c r="Z101" i="5"/>
  <c r="AA101" i="5"/>
  <c r="E101" i="5" s="1"/>
  <c r="AB101" i="5"/>
  <c r="AC101" i="5"/>
  <c r="AD101" i="5"/>
  <c r="AE101" i="5"/>
  <c r="AF101" i="5"/>
  <c r="AG101" i="5"/>
  <c r="AI101" i="5"/>
  <c r="AJ101" i="5"/>
  <c r="AK101" i="5"/>
  <c r="AL101" i="5"/>
  <c r="AM101" i="5"/>
  <c r="AN101" i="5"/>
  <c r="AO101" i="5"/>
  <c r="AP101" i="5"/>
  <c r="X38" i="5"/>
  <c r="B38" i="5" s="1"/>
  <c r="Y38" i="5"/>
  <c r="Z38" i="5"/>
  <c r="AA38" i="5"/>
  <c r="D38" i="5" s="1"/>
  <c r="AB38" i="5"/>
  <c r="AC38" i="5"/>
  <c r="AD38" i="5"/>
  <c r="AE38" i="5"/>
  <c r="AF38" i="5"/>
  <c r="AG38" i="5"/>
  <c r="AI38" i="5"/>
  <c r="AJ38" i="5"/>
  <c r="AK38" i="5"/>
  <c r="AL38" i="5"/>
  <c r="AM38" i="5"/>
  <c r="AN38" i="5"/>
  <c r="AO38" i="5"/>
  <c r="AP38" i="5"/>
  <c r="X39" i="5"/>
  <c r="B39" i="5" s="1"/>
  <c r="Y39" i="5"/>
  <c r="Z39" i="5"/>
  <c r="AA39" i="5"/>
  <c r="D39" i="5" s="1"/>
  <c r="AB39" i="5"/>
  <c r="AC39" i="5"/>
  <c r="AD39" i="5"/>
  <c r="AE39" i="5"/>
  <c r="AF39" i="5"/>
  <c r="AG39" i="5"/>
  <c r="AI39" i="5"/>
  <c r="AJ39" i="5"/>
  <c r="AK39" i="5"/>
  <c r="AL39" i="5"/>
  <c r="AM39" i="5"/>
  <c r="AN39" i="5"/>
  <c r="AO39" i="5"/>
  <c r="AP39" i="5"/>
  <c r="X40" i="5"/>
  <c r="B40" i="5" s="1"/>
  <c r="Y40" i="5"/>
  <c r="Z40" i="5"/>
  <c r="AA40" i="5"/>
  <c r="D40" i="5" s="1"/>
  <c r="AB40" i="5"/>
  <c r="AC40" i="5"/>
  <c r="AD40" i="5"/>
  <c r="AE40" i="5"/>
  <c r="AF40" i="5"/>
  <c r="AG40" i="5"/>
  <c r="AI40" i="5"/>
  <c r="AJ40" i="5"/>
  <c r="AK40" i="5"/>
  <c r="AL40" i="5"/>
  <c r="AM40" i="5"/>
  <c r="AN40" i="5"/>
  <c r="AO40" i="5"/>
  <c r="AP40" i="5"/>
  <c r="X41" i="5"/>
  <c r="B41" i="5" s="1"/>
  <c r="Y41" i="5"/>
  <c r="Z41" i="5"/>
  <c r="AA41" i="5"/>
  <c r="D41" i="5" s="1"/>
  <c r="AB41" i="5"/>
  <c r="AC41" i="5"/>
  <c r="AD41" i="5"/>
  <c r="AE41" i="5"/>
  <c r="AF41" i="5"/>
  <c r="AG41" i="5"/>
  <c r="AI41" i="5"/>
  <c r="AJ41" i="5"/>
  <c r="AK41" i="5"/>
  <c r="AL41" i="5"/>
  <c r="AM41" i="5"/>
  <c r="AN41" i="5"/>
  <c r="AO41" i="5"/>
  <c r="AP41" i="5"/>
  <c r="X42" i="5"/>
  <c r="B42" i="5" s="1"/>
  <c r="Y42" i="5"/>
  <c r="Z42" i="5"/>
  <c r="AA42" i="5"/>
  <c r="D42" i="5" s="1"/>
  <c r="M42" i="5" s="1"/>
  <c r="AB42" i="5"/>
  <c r="AC42" i="5"/>
  <c r="AD42" i="5"/>
  <c r="AE42" i="5"/>
  <c r="AF42" i="5"/>
  <c r="AG42" i="5"/>
  <c r="AI42" i="5"/>
  <c r="AJ42" i="5"/>
  <c r="AK42" i="5"/>
  <c r="AL42" i="5"/>
  <c r="AM42" i="5"/>
  <c r="AN42" i="5"/>
  <c r="AO42" i="5"/>
  <c r="AP42" i="5"/>
  <c r="X43" i="5"/>
  <c r="B43" i="5" s="1"/>
  <c r="Y43" i="5"/>
  <c r="Z43" i="5"/>
  <c r="AA43" i="5"/>
  <c r="D43" i="5" s="1"/>
  <c r="AB43" i="5"/>
  <c r="AC43" i="5"/>
  <c r="AD43" i="5"/>
  <c r="AE43" i="5"/>
  <c r="AF43" i="5"/>
  <c r="AG43" i="5"/>
  <c r="AI43" i="5"/>
  <c r="AJ43" i="5"/>
  <c r="AK43" i="5"/>
  <c r="AL43" i="5"/>
  <c r="AM43" i="5"/>
  <c r="AN43" i="5"/>
  <c r="AO43" i="5"/>
  <c r="AP43" i="5"/>
  <c r="X44" i="5"/>
  <c r="B44" i="5" s="1"/>
  <c r="Y44" i="5"/>
  <c r="Z44" i="5"/>
  <c r="AA44" i="5"/>
  <c r="D44" i="5" s="1"/>
  <c r="M44" i="5" s="1"/>
  <c r="AB44" i="5"/>
  <c r="AC44" i="5"/>
  <c r="AD44" i="5"/>
  <c r="AE44" i="5"/>
  <c r="AF44" i="5"/>
  <c r="AG44" i="5"/>
  <c r="AI44" i="5"/>
  <c r="AJ44" i="5"/>
  <c r="AK44" i="5"/>
  <c r="AL44" i="5"/>
  <c r="AM44" i="5"/>
  <c r="AN44" i="5"/>
  <c r="AO44" i="5"/>
  <c r="AP44" i="5"/>
  <c r="X45" i="5"/>
  <c r="B45" i="5" s="1"/>
  <c r="Y45" i="5"/>
  <c r="Z45" i="5"/>
  <c r="AA45" i="5"/>
  <c r="D45" i="5" s="1"/>
  <c r="AB45" i="5"/>
  <c r="AC45" i="5"/>
  <c r="AD45" i="5"/>
  <c r="AE45" i="5"/>
  <c r="AF45" i="5"/>
  <c r="AG45" i="5"/>
  <c r="AI45" i="5"/>
  <c r="AJ45" i="5"/>
  <c r="AK45" i="5"/>
  <c r="AL45" i="5"/>
  <c r="AM45" i="5"/>
  <c r="AN45" i="5"/>
  <c r="AO45" i="5"/>
  <c r="AP45" i="5"/>
  <c r="X46" i="5"/>
  <c r="B46" i="5" s="1"/>
  <c r="Y46" i="5"/>
  <c r="Z46" i="5"/>
  <c r="AA46" i="5"/>
  <c r="D46" i="5" s="1"/>
  <c r="AB46" i="5"/>
  <c r="AC46" i="5"/>
  <c r="AD46" i="5"/>
  <c r="AE46" i="5"/>
  <c r="AF46" i="5"/>
  <c r="AG46" i="5"/>
  <c r="AI46" i="5"/>
  <c r="AJ46" i="5"/>
  <c r="AK46" i="5"/>
  <c r="AL46" i="5"/>
  <c r="AM46" i="5"/>
  <c r="AN46" i="5"/>
  <c r="AO46" i="5"/>
  <c r="AP46" i="5"/>
  <c r="X47" i="5"/>
  <c r="B47" i="5" s="1"/>
  <c r="Y47" i="5"/>
  <c r="Z47" i="5"/>
  <c r="AA47" i="5"/>
  <c r="E47" i="5" s="1"/>
  <c r="AB47" i="5"/>
  <c r="AC47" i="5"/>
  <c r="AD47" i="5"/>
  <c r="AE47" i="5"/>
  <c r="AF47" i="5"/>
  <c r="AG47" i="5"/>
  <c r="AI47" i="5"/>
  <c r="AJ47" i="5"/>
  <c r="AK47" i="5"/>
  <c r="AL47" i="5"/>
  <c r="AM47" i="5"/>
  <c r="AN47" i="5"/>
  <c r="AO47" i="5"/>
  <c r="AP47" i="5"/>
  <c r="X48" i="5"/>
  <c r="B48" i="5" s="1"/>
  <c r="Y48" i="5"/>
  <c r="Z48" i="5"/>
  <c r="AA48" i="5"/>
  <c r="D48" i="5" s="1"/>
  <c r="M48" i="5" s="1"/>
  <c r="AB48" i="5"/>
  <c r="AC48" i="5"/>
  <c r="AD48" i="5"/>
  <c r="AE48" i="5"/>
  <c r="AF48" i="5"/>
  <c r="AG48" i="5"/>
  <c r="AI48" i="5"/>
  <c r="AJ48" i="5"/>
  <c r="AK48" i="5"/>
  <c r="AL48" i="5"/>
  <c r="AM48" i="5"/>
  <c r="AN48" i="5"/>
  <c r="AO48" i="5"/>
  <c r="AP48" i="5"/>
  <c r="X49" i="5"/>
  <c r="B49" i="5" s="1"/>
  <c r="Y49" i="5"/>
  <c r="Z49" i="5"/>
  <c r="AA49" i="5"/>
  <c r="D49" i="5" s="1"/>
  <c r="M49" i="5" s="1"/>
  <c r="AB49" i="5"/>
  <c r="AC49" i="5"/>
  <c r="AD49" i="5"/>
  <c r="AE49" i="5"/>
  <c r="AF49" i="5"/>
  <c r="AG49" i="5"/>
  <c r="AI49" i="5"/>
  <c r="AJ49" i="5"/>
  <c r="AK49" i="5"/>
  <c r="AL49" i="5"/>
  <c r="AM49" i="5"/>
  <c r="AN49" i="5"/>
  <c r="AO49" i="5"/>
  <c r="AP49" i="5"/>
  <c r="X50" i="5"/>
  <c r="B50" i="5" s="1"/>
  <c r="Y50" i="5"/>
  <c r="Z50" i="5"/>
  <c r="AA50" i="5"/>
  <c r="D50" i="5" s="1"/>
  <c r="M50" i="5" s="1"/>
  <c r="AB50" i="5"/>
  <c r="AC50" i="5"/>
  <c r="AD50" i="5"/>
  <c r="AE50" i="5"/>
  <c r="AF50" i="5"/>
  <c r="AG50" i="5"/>
  <c r="AI50" i="5"/>
  <c r="AJ50" i="5"/>
  <c r="AK50" i="5"/>
  <c r="AL50" i="5"/>
  <c r="AM50" i="5"/>
  <c r="AN50" i="5"/>
  <c r="AO50" i="5"/>
  <c r="AP50" i="5"/>
  <c r="X51" i="5"/>
  <c r="B51" i="5" s="1"/>
  <c r="Y51" i="5"/>
  <c r="Z51" i="5"/>
  <c r="AA51" i="5"/>
  <c r="D51" i="5" s="1"/>
  <c r="AB51" i="5"/>
  <c r="AC51" i="5"/>
  <c r="AD51" i="5"/>
  <c r="AE51" i="5"/>
  <c r="AF51" i="5"/>
  <c r="AG51" i="5"/>
  <c r="AI51" i="5"/>
  <c r="AJ51" i="5"/>
  <c r="AK51" i="5"/>
  <c r="AL51" i="5"/>
  <c r="AM51" i="5"/>
  <c r="AN51" i="5"/>
  <c r="AO51" i="5"/>
  <c r="AP51" i="5"/>
  <c r="X52" i="5"/>
  <c r="B52" i="5" s="1"/>
  <c r="Y52" i="5"/>
  <c r="Z52" i="5"/>
  <c r="AA52" i="5"/>
  <c r="D52" i="5" s="1"/>
  <c r="M52" i="5" s="1"/>
  <c r="AB52" i="5"/>
  <c r="AC52" i="5"/>
  <c r="AD52" i="5"/>
  <c r="AE52" i="5"/>
  <c r="AF52" i="5"/>
  <c r="AG52" i="5"/>
  <c r="AI52" i="5"/>
  <c r="AJ52" i="5"/>
  <c r="AK52" i="5"/>
  <c r="AL52" i="5"/>
  <c r="AM52" i="5"/>
  <c r="AN52" i="5"/>
  <c r="AO52" i="5"/>
  <c r="AP52" i="5"/>
  <c r="X53" i="5"/>
  <c r="B53" i="5" s="1"/>
  <c r="Y53" i="5"/>
  <c r="Z53" i="5"/>
  <c r="AA53" i="5"/>
  <c r="D53" i="5" s="1"/>
  <c r="M53" i="5" s="1"/>
  <c r="AB53" i="5"/>
  <c r="AC53" i="5"/>
  <c r="AD53" i="5"/>
  <c r="AE53" i="5"/>
  <c r="AF53" i="5"/>
  <c r="AG53" i="5"/>
  <c r="AI53" i="5"/>
  <c r="AJ53" i="5"/>
  <c r="AK53" i="5"/>
  <c r="AL53" i="5"/>
  <c r="AM53" i="5"/>
  <c r="AN53" i="5"/>
  <c r="AO53" i="5"/>
  <c r="AP53" i="5"/>
  <c r="X54" i="5"/>
  <c r="B54" i="5" s="1"/>
  <c r="Y54" i="5"/>
  <c r="Z54" i="5"/>
  <c r="AA54" i="5"/>
  <c r="D54" i="5" s="1"/>
  <c r="M54" i="5" s="1"/>
  <c r="AB54" i="5"/>
  <c r="AC54" i="5"/>
  <c r="AD54" i="5"/>
  <c r="AE54" i="5"/>
  <c r="AF54" i="5"/>
  <c r="AG54" i="5"/>
  <c r="AI54" i="5"/>
  <c r="AJ54" i="5"/>
  <c r="AK54" i="5"/>
  <c r="AL54" i="5"/>
  <c r="AM54" i="5"/>
  <c r="AN54" i="5"/>
  <c r="AO54" i="5"/>
  <c r="AP54" i="5"/>
  <c r="X55" i="5"/>
  <c r="B55" i="5" s="1"/>
  <c r="Y55" i="5"/>
  <c r="Z55" i="5"/>
  <c r="AA55" i="5"/>
  <c r="D55" i="5" s="1"/>
  <c r="M55" i="5" s="1"/>
  <c r="AB55" i="5"/>
  <c r="AC55" i="5"/>
  <c r="AD55" i="5"/>
  <c r="AE55" i="5"/>
  <c r="AF55" i="5"/>
  <c r="AG55" i="5"/>
  <c r="AI55" i="5"/>
  <c r="AJ55" i="5"/>
  <c r="AK55" i="5"/>
  <c r="AL55" i="5"/>
  <c r="AM55" i="5"/>
  <c r="AN55" i="5"/>
  <c r="AO55" i="5"/>
  <c r="AP55" i="5"/>
  <c r="X56" i="5"/>
  <c r="B56" i="5" s="1"/>
  <c r="Y56" i="5"/>
  <c r="Z56" i="5"/>
  <c r="AA56" i="5"/>
  <c r="D56" i="5" s="1"/>
  <c r="M56" i="5" s="1"/>
  <c r="AB56" i="5"/>
  <c r="AC56" i="5"/>
  <c r="AD56" i="5"/>
  <c r="AE56" i="5"/>
  <c r="AF56" i="5"/>
  <c r="AG56" i="5"/>
  <c r="AI56" i="5"/>
  <c r="AJ56" i="5"/>
  <c r="AK56" i="5"/>
  <c r="AL56" i="5"/>
  <c r="AM56" i="5"/>
  <c r="AN56" i="5"/>
  <c r="AO56" i="5"/>
  <c r="AP56" i="5"/>
  <c r="X57" i="5"/>
  <c r="B57" i="5" s="1"/>
  <c r="Y57" i="5"/>
  <c r="Z57" i="5"/>
  <c r="AA57" i="5"/>
  <c r="D57" i="5" s="1"/>
  <c r="M57" i="5" s="1"/>
  <c r="AB57" i="5"/>
  <c r="AC57" i="5"/>
  <c r="AD57" i="5"/>
  <c r="AE57" i="5"/>
  <c r="AF57" i="5"/>
  <c r="AG57" i="5"/>
  <c r="AI57" i="5"/>
  <c r="AJ57" i="5"/>
  <c r="AK57" i="5"/>
  <c r="AL57" i="5"/>
  <c r="AM57" i="5"/>
  <c r="AN57" i="5"/>
  <c r="AO57" i="5"/>
  <c r="AP57" i="5"/>
  <c r="X58" i="5"/>
  <c r="B58" i="5" s="1"/>
  <c r="Y58" i="5"/>
  <c r="Z58" i="5"/>
  <c r="AA58" i="5"/>
  <c r="D58" i="5" s="1"/>
  <c r="M58" i="5" s="1"/>
  <c r="AB58" i="5"/>
  <c r="AC58" i="5"/>
  <c r="AD58" i="5"/>
  <c r="AE58" i="5"/>
  <c r="AF58" i="5"/>
  <c r="AG58" i="5"/>
  <c r="AI58" i="5"/>
  <c r="AJ58" i="5"/>
  <c r="AK58" i="5"/>
  <c r="AL58" i="5"/>
  <c r="AM58" i="5"/>
  <c r="AN58" i="5"/>
  <c r="AO58" i="5"/>
  <c r="AP58" i="5"/>
  <c r="X59" i="5"/>
  <c r="B59" i="5" s="1"/>
  <c r="Y59" i="5"/>
  <c r="Z59" i="5"/>
  <c r="AA59" i="5"/>
  <c r="D59" i="5" s="1"/>
  <c r="M59" i="5" s="1"/>
  <c r="AB59" i="5"/>
  <c r="AC59" i="5"/>
  <c r="AD59" i="5"/>
  <c r="AE59" i="5"/>
  <c r="AF59" i="5"/>
  <c r="AG59" i="5"/>
  <c r="AI59" i="5"/>
  <c r="AJ59" i="5"/>
  <c r="AK59" i="5"/>
  <c r="AL59" i="5"/>
  <c r="AM59" i="5"/>
  <c r="AN59" i="5"/>
  <c r="AO59" i="5"/>
  <c r="AP59" i="5"/>
  <c r="X60" i="5"/>
  <c r="B60" i="5" s="1"/>
  <c r="Y60" i="5"/>
  <c r="Z60" i="5"/>
  <c r="AA60" i="5"/>
  <c r="D60" i="5" s="1"/>
  <c r="M60" i="5" s="1"/>
  <c r="AB60" i="5"/>
  <c r="AC60" i="5"/>
  <c r="AD60" i="5"/>
  <c r="AE60" i="5"/>
  <c r="AF60" i="5"/>
  <c r="AG60" i="5"/>
  <c r="AI60" i="5"/>
  <c r="AJ60" i="5"/>
  <c r="AK60" i="5"/>
  <c r="AL60" i="5"/>
  <c r="AM60" i="5"/>
  <c r="AN60" i="5"/>
  <c r="AO60" i="5"/>
  <c r="AP60" i="5"/>
  <c r="X61" i="5"/>
  <c r="B61" i="5" s="1"/>
  <c r="Y61" i="5"/>
  <c r="Z61" i="5"/>
  <c r="AA61" i="5"/>
  <c r="D61" i="5" s="1"/>
  <c r="M61" i="5" s="1"/>
  <c r="AB61" i="5"/>
  <c r="AC61" i="5"/>
  <c r="AD61" i="5"/>
  <c r="AE61" i="5"/>
  <c r="AF61" i="5"/>
  <c r="AG61" i="5"/>
  <c r="AI61" i="5"/>
  <c r="AJ61" i="5"/>
  <c r="AK61" i="5"/>
  <c r="AL61" i="5"/>
  <c r="AM61" i="5"/>
  <c r="AN61" i="5"/>
  <c r="AO61" i="5"/>
  <c r="AP61" i="5"/>
  <c r="X62" i="5"/>
  <c r="B62" i="5" s="1"/>
  <c r="Y62" i="5"/>
  <c r="Z62" i="5"/>
  <c r="AA62" i="5"/>
  <c r="D62" i="5" s="1"/>
  <c r="M62" i="5" s="1"/>
  <c r="AB62" i="5"/>
  <c r="AC62" i="5"/>
  <c r="AD62" i="5"/>
  <c r="AE62" i="5"/>
  <c r="AF62" i="5"/>
  <c r="AG62" i="5"/>
  <c r="AI62" i="5"/>
  <c r="AJ62" i="5"/>
  <c r="AK62" i="5"/>
  <c r="AL62" i="5"/>
  <c r="AM62" i="5"/>
  <c r="AN62" i="5"/>
  <c r="AO62" i="5"/>
  <c r="AP62" i="5"/>
  <c r="X63" i="5"/>
  <c r="B63" i="5" s="1"/>
  <c r="Y63" i="5"/>
  <c r="Z63" i="5"/>
  <c r="AA63" i="5"/>
  <c r="E63" i="5" s="1"/>
  <c r="AB63" i="5"/>
  <c r="AC63" i="5"/>
  <c r="AD63" i="5"/>
  <c r="AE63" i="5"/>
  <c r="AF63" i="5"/>
  <c r="AG63" i="5"/>
  <c r="AI63" i="5"/>
  <c r="AJ63" i="5"/>
  <c r="AK63" i="5"/>
  <c r="AL63" i="5"/>
  <c r="AM63" i="5"/>
  <c r="AN63" i="5"/>
  <c r="AO63" i="5"/>
  <c r="AP63" i="5"/>
  <c r="X64" i="5"/>
  <c r="B64" i="5" s="1"/>
  <c r="Y64" i="5"/>
  <c r="Z64" i="5"/>
  <c r="AA64" i="5"/>
  <c r="D64" i="5" s="1"/>
  <c r="M64" i="5" s="1"/>
  <c r="AB64" i="5"/>
  <c r="AC64" i="5"/>
  <c r="AD64" i="5"/>
  <c r="AE64" i="5"/>
  <c r="AF64" i="5"/>
  <c r="AG64" i="5"/>
  <c r="AI64" i="5"/>
  <c r="AJ64" i="5"/>
  <c r="AK64" i="5"/>
  <c r="AL64" i="5"/>
  <c r="AM64" i="5"/>
  <c r="AN64" i="5"/>
  <c r="AO64" i="5"/>
  <c r="AP64" i="5"/>
  <c r="X65" i="5"/>
  <c r="B65" i="5" s="1"/>
  <c r="Y65" i="5"/>
  <c r="Z65" i="5"/>
  <c r="AA65" i="5"/>
  <c r="D65" i="5" s="1"/>
  <c r="M65" i="5" s="1"/>
  <c r="AB65" i="5"/>
  <c r="AC65" i="5"/>
  <c r="AD65" i="5"/>
  <c r="AE65" i="5"/>
  <c r="AF65" i="5"/>
  <c r="AG65" i="5"/>
  <c r="AI65" i="5"/>
  <c r="AJ65" i="5"/>
  <c r="AK65" i="5"/>
  <c r="AL65" i="5"/>
  <c r="AM65" i="5"/>
  <c r="AN65" i="5"/>
  <c r="AO65" i="5"/>
  <c r="AP65" i="5"/>
  <c r="X66" i="5"/>
  <c r="B66" i="5" s="1"/>
  <c r="Y66" i="5"/>
  <c r="Z66" i="5"/>
  <c r="AA66" i="5"/>
  <c r="D66" i="5" s="1"/>
  <c r="M66" i="5" s="1"/>
  <c r="AB66" i="5"/>
  <c r="AC66" i="5"/>
  <c r="AD66" i="5"/>
  <c r="AE66" i="5"/>
  <c r="AF66" i="5"/>
  <c r="AG66" i="5"/>
  <c r="AI66" i="5"/>
  <c r="AJ66" i="5"/>
  <c r="AK66" i="5"/>
  <c r="AL66" i="5"/>
  <c r="AM66" i="5"/>
  <c r="AN66" i="5"/>
  <c r="AO66" i="5"/>
  <c r="AP66" i="5"/>
  <c r="X67" i="5"/>
  <c r="B67" i="5" s="1"/>
  <c r="Y67" i="5"/>
  <c r="Z67" i="5"/>
  <c r="AA67" i="5"/>
  <c r="D67" i="5" s="1"/>
  <c r="M67" i="5" s="1"/>
  <c r="AB67" i="5"/>
  <c r="AC67" i="5"/>
  <c r="AD67" i="5"/>
  <c r="AE67" i="5"/>
  <c r="AF67" i="5"/>
  <c r="AG67" i="5"/>
  <c r="AI67" i="5"/>
  <c r="AJ67" i="5"/>
  <c r="AK67" i="5"/>
  <c r="AL67" i="5"/>
  <c r="AM67" i="5"/>
  <c r="AN67" i="5"/>
  <c r="AO67" i="5"/>
  <c r="AP67" i="5"/>
  <c r="X68" i="5"/>
  <c r="B68" i="5" s="1"/>
  <c r="Y68" i="5"/>
  <c r="Z68" i="5"/>
  <c r="AA68" i="5"/>
  <c r="D68" i="5" s="1"/>
  <c r="M68" i="5" s="1"/>
  <c r="AB68" i="5"/>
  <c r="AC68" i="5"/>
  <c r="AD68" i="5"/>
  <c r="AE68" i="5"/>
  <c r="AF68" i="5"/>
  <c r="AG68" i="5"/>
  <c r="AI68" i="5"/>
  <c r="AJ68" i="5"/>
  <c r="AK68" i="5"/>
  <c r="AL68" i="5"/>
  <c r="AM68" i="5"/>
  <c r="AN68" i="5"/>
  <c r="AO68" i="5"/>
  <c r="AP68" i="5"/>
  <c r="X69" i="5"/>
  <c r="B69" i="5" s="1"/>
  <c r="Y69" i="5"/>
  <c r="Z69" i="5"/>
  <c r="AA69" i="5"/>
  <c r="D69" i="5" s="1"/>
  <c r="M69" i="5" s="1"/>
  <c r="AB69" i="5"/>
  <c r="AC69" i="5"/>
  <c r="AD69" i="5"/>
  <c r="AE69" i="5"/>
  <c r="AF69" i="5"/>
  <c r="AG69" i="5"/>
  <c r="AI69" i="5"/>
  <c r="AJ69" i="5"/>
  <c r="AK69" i="5"/>
  <c r="AL69" i="5"/>
  <c r="AM69" i="5"/>
  <c r="AN69" i="5"/>
  <c r="AO69" i="5"/>
  <c r="AP69" i="5"/>
  <c r="X70" i="5"/>
  <c r="B70" i="5" s="1"/>
  <c r="Y70" i="5"/>
  <c r="Z70" i="5"/>
  <c r="AA70" i="5"/>
  <c r="D70" i="5" s="1"/>
  <c r="M70" i="5" s="1"/>
  <c r="AB70" i="5"/>
  <c r="AC70" i="5"/>
  <c r="AD70" i="5"/>
  <c r="AE70" i="5"/>
  <c r="AF70" i="5"/>
  <c r="AG70" i="5"/>
  <c r="AI70" i="5"/>
  <c r="AJ70" i="5"/>
  <c r="AK70" i="5"/>
  <c r="AL70" i="5"/>
  <c r="AM70" i="5"/>
  <c r="AN70" i="5"/>
  <c r="AO70" i="5"/>
  <c r="AP70" i="5"/>
  <c r="X71" i="5"/>
  <c r="B71" i="5" s="1"/>
  <c r="Y71" i="5"/>
  <c r="Z71" i="5"/>
  <c r="AA71" i="5"/>
  <c r="D71" i="5" s="1"/>
  <c r="M71" i="5" s="1"/>
  <c r="AB71" i="5"/>
  <c r="AC71" i="5"/>
  <c r="AD71" i="5"/>
  <c r="AE71" i="5"/>
  <c r="AF71" i="5"/>
  <c r="AG71" i="5"/>
  <c r="AI71" i="5"/>
  <c r="AJ71" i="5"/>
  <c r="AK71" i="5"/>
  <c r="AL71" i="5"/>
  <c r="AM71" i="5"/>
  <c r="AN71" i="5"/>
  <c r="AO71" i="5"/>
  <c r="AP71" i="5"/>
  <c r="X72" i="5"/>
  <c r="B72" i="5" s="1"/>
  <c r="Y72" i="5"/>
  <c r="Z72" i="5"/>
  <c r="AA72" i="5"/>
  <c r="D72" i="5" s="1"/>
  <c r="M72" i="5" s="1"/>
  <c r="AB72" i="5"/>
  <c r="AC72" i="5"/>
  <c r="AD72" i="5"/>
  <c r="AE72" i="5"/>
  <c r="AF72" i="5"/>
  <c r="AG72" i="5"/>
  <c r="AI72" i="5"/>
  <c r="AJ72" i="5"/>
  <c r="AK72" i="5"/>
  <c r="AL72" i="5"/>
  <c r="AM72" i="5"/>
  <c r="AN72" i="5"/>
  <c r="AO72" i="5"/>
  <c r="AP72" i="5"/>
  <c r="X73" i="5"/>
  <c r="B73" i="5" s="1"/>
  <c r="Y73" i="5"/>
  <c r="Z73" i="5"/>
  <c r="AA73" i="5"/>
  <c r="D73" i="5" s="1"/>
  <c r="M73" i="5" s="1"/>
  <c r="AB73" i="5"/>
  <c r="AC73" i="5"/>
  <c r="AD73" i="5"/>
  <c r="AE73" i="5"/>
  <c r="AF73" i="5"/>
  <c r="AG73" i="5"/>
  <c r="AI73" i="5"/>
  <c r="AJ73" i="5"/>
  <c r="AK73" i="5"/>
  <c r="AL73" i="5"/>
  <c r="AM73" i="5"/>
  <c r="AN73" i="5"/>
  <c r="AO73" i="5"/>
  <c r="AP73" i="5"/>
  <c r="X74" i="5"/>
  <c r="B74" i="5" s="1"/>
  <c r="Y74" i="5"/>
  <c r="Z74" i="5"/>
  <c r="AA74" i="5"/>
  <c r="D74" i="5" s="1"/>
  <c r="M74" i="5" s="1"/>
  <c r="AB74" i="5"/>
  <c r="AC74" i="5"/>
  <c r="AD74" i="5"/>
  <c r="AE74" i="5"/>
  <c r="AF74" i="5"/>
  <c r="AG74" i="5"/>
  <c r="AI74" i="5"/>
  <c r="AJ74" i="5"/>
  <c r="AK74" i="5"/>
  <c r="AL74" i="5"/>
  <c r="AM74" i="5"/>
  <c r="AN74" i="5"/>
  <c r="AO74" i="5"/>
  <c r="AP74" i="5"/>
  <c r="X75" i="5"/>
  <c r="B75" i="5" s="1"/>
  <c r="Y75" i="5"/>
  <c r="Z75" i="5"/>
  <c r="AA75" i="5"/>
  <c r="D75" i="5" s="1"/>
  <c r="M75" i="5" s="1"/>
  <c r="AB75" i="5"/>
  <c r="AC75" i="5"/>
  <c r="AD75" i="5"/>
  <c r="AE75" i="5"/>
  <c r="AF75" i="5"/>
  <c r="AG75" i="5"/>
  <c r="AI75" i="5"/>
  <c r="AJ75" i="5"/>
  <c r="AK75" i="5"/>
  <c r="AL75" i="5"/>
  <c r="AM75" i="5"/>
  <c r="AN75" i="5"/>
  <c r="AO75" i="5"/>
  <c r="AP75" i="5"/>
  <c r="X76" i="5"/>
  <c r="B76" i="5" s="1"/>
  <c r="Y76" i="5"/>
  <c r="Z76" i="5"/>
  <c r="AA76" i="5"/>
  <c r="D76" i="5" s="1"/>
  <c r="M76" i="5" s="1"/>
  <c r="AB76" i="5"/>
  <c r="AC76" i="5"/>
  <c r="AD76" i="5"/>
  <c r="AE76" i="5"/>
  <c r="AF76" i="5"/>
  <c r="AG76" i="5"/>
  <c r="AI76" i="5"/>
  <c r="AJ76" i="5"/>
  <c r="AK76" i="5"/>
  <c r="AL76" i="5"/>
  <c r="AM76" i="5"/>
  <c r="AN76" i="5"/>
  <c r="AO76" i="5"/>
  <c r="AP76" i="5"/>
  <c r="X77" i="5"/>
  <c r="B77" i="5" s="1"/>
  <c r="Y77" i="5"/>
  <c r="Z77" i="5"/>
  <c r="AA77" i="5"/>
  <c r="D77" i="5" s="1"/>
  <c r="M77" i="5" s="1"/>
  <c r="AB77" i="5"/>
  <c r="AC77" i="5"/>
  <c r="AD77" i="5"/>
  <c r="AE77" i="5"/>
  <c r="AF77" i="5"/>
  <c r="AG77" i="5"/>
  <c r="AI77" i="5"/>
  <c r="AJ77" i="5"/>
  <c r="AK77" i="5"/>
  <c r="AL77" i="5"/>
  <c r="AM77" i="5"/>
  <c r="AN77" i="5"/>
  <c r="AO77" i="5"/>
  <c r="AP77" i="5"/>
  <c r="X78" i="5"/>
  <c r="B78" i="5" s="1"/>
  <c r="Y78" i="5"/>
  <c r="Z78" i="5"/>
  <c r="AA78" i="5"/>
  <c r="D78" i="5" s="1"/>
  <c r="M78" i="5" s="1"/>
  <c r="AB78" i="5"/>
  <c r="AC78" i="5"/>
  <c r="AD78" i="5"/>
  <c r="AE78" i="5"/>
  <c r="AF78" i="5"/>
  <c r="AG78" i="5"/>
  <c r="AI78" i="5"/>
  <c r="AJ78" i="5"/>
  <c r="AK78" i="5"/>
  <c r="AL78" i="5"/>
  <c r="AM78" i="5"/>
  <c r="AN78" i="5"/>
  <c r="AO78" i="5"/>
  <c r="AP78" i="5"/>
  <c r="X79" i="5"/>
  <c r="B79" i="5" s="1"/>
  <c r="Y79" i="5"/>
  <c r="Z79" i="5"/>
  <c r="AA79" i="5"/>
  <c r="E79" i="5" s="1"/>
  <c r="AB79" i="5"/>
  <c r="AC79" i="5"/>
  <c r="AD79" i="5"/>
  <c r="AE79" i="5"/>
  <c r="AF79" i="5"/>
  <c r="AG79" i="5"/>
  <c r="AI79" i="5"/>
  <c r="AJ79" i="5"/>
  <c r="AK79" i="5"/>
  <c r="AL79" i="5"/>
  <c r="AM79" i="5"/>
  <c r="AN79" i="5"/>
  <c r="AO79" i="5"/>
  <c r="AP79" i="5"/>
  <c r="X80" i="5"/>
  <c r="B80" i="5" s="1"/>
  <c r="Y80" i="5"/>
  <c r="Z80" i="5"/>
  <c r="AA80" i="5"/>
  <c r="D80" i="5" s="1"/>
  <c r="M80" i="5" s="1"/>
  <c r="AB80" i="5"/>
  <c r="AC80" i="5"/>
  <c r="AD80" i="5"/>
  <c r="AE80" i="5"/>
  <c r="AF80" i="5"/>
  <c r="AG80" i="5"/>
  <c r="AI80" i="5"/>
  <c r="AJ80" i="5"/>
  <c r="AK80" i="5"/>
  <c r="AL80" i="5"/>
  <c r="AM80" i="5"/>
  <c r="AN80" i="5"/>
  <c r="AO80" i="5"/>
  <c r="AP80" i="5"/>
  <c r="X81" i="5"/>
  <c r="B81" i="5" s="1"/>
  <c r="Y81" i="5"/>
  <c r="Z81" i="5"/>
  <c r="AA81" i="5"/>
  <c r="D81" i="5" s="1"/>
  <c r="M81" i="5" s="1"/>
  <c r="AB81" i="5"/>
  <c r="AC81" i="5"/>
  <c r="AD81" i="5"/>
  <c r="AE81" i="5"/>
  <c r="AF81" i="5"/>
  <c r="AG81" i="5"/>
  <c r="AI81" i="5"/>
  <c r="AJ81" i="5"/>
  <c r="AK81" i="5"/>
  <c r="AL81" i="5"/>
  <c r="AM81" i="5"/>
  <c r="AN81" i="5"/>
  <c r="AO81" i="5"/>
  <c r="AP81" i="5"/>
  <c r="X82" i="5"/>
  <c r="B82" i="5" s="1"/>
  <c r="Y82" i="5"/>
  <c r="Z82" i="5"/>
  <c r="AA82" i="5"/>
  <c r="D82" i="5" s="1"/>
  <c r="M82" i="5" s="1"/>
  <c r="AB82" i="5"/>
  <c r="AC82" i="5"/>
  <c r="AD82" i="5"/>
  <c r="AE82" i="5"/>
  <c r="AF82" i="5"/>
  <c r="AG82" i="5"/>
  <c r="AI82" i="5"/>
  <c r="AJ82" i="5"/>
  <c r="AK82" i="5"/>
  <c r="AL82" i="5"/>
  <c r="AM82" i="5"/>
  <c r="AN82" i="5"/>
  <c r="AO82" i="5"/>
  <c r="AP82" i="5"/>
  <c r="X83" i="5"/>
  <c r="B83" i="5" s="1"/>
  <c r="Y83" i="5"/>
  <c r="Z83" i="5"/>
  <c r="AA83" i="5"/>
  <c r="D83" i="5" s="1"/>
  <c r="M83" i="5" s="1"/>
  <c r="AB83" i="5"/>
  <c r="AC83" i="5"/>
  <c r="AD83" i="5"/>
  <c r="AE83" i="5"/>
  <c r="AF83" i="5"/>
  <c r="AG83" i="5"/>
  <c r="AI83" i="5"/>
  <c r="AJ83" i="5"/>
  <c r="AK83" i="5"/>
  <c r="AL83" i="5"/>
  <c r="AM83" i="5"/>
  <c r="AN83" i="5"/>
  <c r="AO83" i="5"/>
  <c r="AP83" i="5"/>
  <c r="X84" i="5"/>
  <c r="B84" i="5" s="1"/>
  <c r="Y84" i="5"/>
  <c r="Z84" i="5"/>
  <c r="AA84" i="5"/>
  <c r="D84" i="5" s="1"/>
  <c r="M84" i="5" s="1"/>
  <c r="AB84" i="5"/>
  <c r="AC84" i="5"/>
  <c r="AD84" i="5"/>
  <c r="AE84" i="5"/>
  <c r="AF84" i="5"/>
  <c r="AG84" i="5"/>
  <c r="AI84" i="5"/>
  <c r="AJ84" i="5"/>
  <c r="AK84" i="5"/>
  <c r="AL84" i="5"/>
  <c r="AM84" i="5"/>
  <c r="AN84" i="5"/>
  <c r="AO84" i="5"/>
  <c r="AP84" i="5"/>
  <c r="X85" i="5"/>
  <c r="B85" i="5" s="1"/>
  <c r="Y85" i="5"/>
  <c r="Z85" i="5"/>
  <c r="AA85" i="5"/>
  <c r="D85" i="5" s="1"/>
  <c r="M85" i="5" s="1"/>
  <c r="AB85" i="5"/>
  <c r="AC85" i="5"/>
  <c r="AD85" i="5"/>
  <c r="AE85" i="5"/>
  <c r="AF85" i="5"/>
  <c r="AG85" i="5"/>
  <c r="AI85" i="5"/>
  <c r="AJ85" i="5"/>
  <c r="AK85" i="5"/>
  <c r="AL85" i="5"/>
  <c r="AM85" i="5"/>
  <c r="AN85" i="5"/>
  <c r="AO85" i="5"/>
  <c r="AP85" i="5"/>
  <c r="X86" i="5"/>
  <c r="B86" i="5" s="1"/>
  <c r="Y86" i="5"/>
  <c r="Z86" i="5"/>
  <c r="AA86" i="5"/>
  <c r="D86" i="5" s="1"/>
  <c r="M86" i="5" s="1"/>
  <c r="AB86" i="5"/>
  <c r="AC86" i="5"/>
  <c r="AD86" i="5"/>
  <c r="AE86" i="5"/>
  <c r="AF86" i="5"/>
  <c r="AG86" i="5"/>
  <c r="AI86" i="5"/>
  <c r="AJ86" i="5"/>
  <c r="AK86" i="5"/>
  <c r="AL86" i="5"/>
  <c r="AM86" i="5"/>
  <c r="AN86" i="5"/>
  <c r="AO86" i="5"/>
  <c r="AP86" i="5"/>
  <c r="X87" i="5"/>
  <c r="B87" i="5" s="1"/>
  <c r="Y87" i="5"/>
  <c r="Z87" i="5"/>
  <c r="AA87" i="5"/>
  <c r="D87" i="5" s="1"/>
  <c r="M87" i="5" s="1"/>
  <c r="AB87" i="5"/>
  <c r="AC87" i="5"/>
  <c r="AD87" i="5"/>
  <c r="AE87" i="5"/>
  <c r="AF87" i="5"/>
  <c r="AG87" i="5"/>
  <c r="AI87" i="5"/>
  <c r="AJ87" i="5"/>
  <c r="AK87" i="5"/>
  <c r="AL87" i="5"/>
  <c r="AM87" i="5"/>
  <c r="AN87" i="5"/>
  <c r="AO87" i="5"/>
  <c r="AP87" i="5"/>
  <c r="X88" i="5"/>
  <c r="B88" i="5" s="1"/>
  <c r="Y88" i="5"/>
  <c r="Z88" i="5"/>
  <c r="AA88" i="5"/>
  <c r="D88" i="5" s="1"/>
  <c r="M88" i="5" s="1"/>
  <c r="AB88" i="5"/>
  <c r="AC88" i="5"/>
  <c r="AD88" i="5"/>
  <c r="AE88" i="5"/>
  <c r="AF88" i="5"/>
  <c r="AG88" i="5"/>
  <c r="AI88" i="5"/>
  <c r="AJ88" i="5"/>
  <c r="AK88" i="5"/>
  <c r="AL88" i="5"/>
  <c r="AM88" i="5"/>
  <c r="AN88" i="5"/>
  <c r="AO88" i="5"/>
  <c r="AP88" i="5"/>
  <c r="X89" i="5"/>
  <c r="B89" i="5" s="1"/>
  <c r="Y89" i="5"/>
  <c r="Z89" i="5"/>
  <c r="AA89" i="5"/>
  <c r="D89" i="5" s="1"/>
  <c r="M89" i="5" s="1"/>
  <c r="AB89" i="5"/>
  <c r="AC89" i="5"/>
  <c r="AD89" i="5"/>
  <c r="AE89" i="5"/>
  <c r="AF89" i="5"/>
  <c r="AG89" i="5"/>
  <c r="AI89" i="5"/>
  <c r="AJ89" i="5"/>
  <c r="AK89" i="5"/>
  <c r="AL89" i="5"/>
  <c r="AM89" i="5"/>
  <c r="AN89" i="5"/>
  <c r="AO89" i="5"/>
  <c r="AP89" i="5"/>
  <c r="X90" i="5"/>
  <c r="B90" i="5" s="1"/>
  <c r="Y90" i="5"/>
  <c r="Z90" i="5"/>
  <c r="AA90" i="5"/>
  <c r="D90" i="5" s="1"/>
  <c r="M90" i="5" s="1"/>
  <c r="AB90" i="5"/>
  <c r="AC90" i="5"/>
  <c r="AD90" i="5"/>
  <c r="AE90" i="5"/>
  <c r="AF90" i="5"/>
  <c r="AG90" i="5"/>
  <c r="AI90" i="5"/>
  <c r="AJ90" i="5"/>
  <c r="AK90" i="5"/>
  <c r="AL90" i="5"/>
  <c r="AM90" i="5"/>
  <c r="AN90" i="5"/>
  <c r="AO90" i="5"/>
  <c r="AP90" i="5"/>
  <c r="X91" i="5"/>
  <c r="B91" i="5" s="1"/>
  <c r="Y91" i="5"/>
  <c r="Z91" i="5"/>
  <c r="AA91" i="5"/>
  <c r="D91" i="5" s="1"/>
  <c r="M91" i="5" s="1"/>
  <c r="AB91" i="5"/>
  <c r="AC91" i="5"/>
  <c r="AD91" i="5"/>
  <c r="AE91" i="5"/>
  <c r="AF91" i="5"/>
  <c r="AG91" i="5"/>
  <c r="AI91" i="5"/>
  <c r="AJ91" i="5"/>
  <c r="AK91" i="5"/>
  <c r="AL91" i="5"/>
  <c r="AM91" i="5"/>
  <c r="AN91" i="5"/>
  <c r="AO91" i="5"/>
  <c r="AP91" i="5"/>
  <c r="X92" i="5"/>
  <c r="B92" i="5" s="1"/>
  <c r="Y92" i="5"/>
  <c r="Z92" i="5"/>
  <c r="AA92" i="5"/>
  <c r="D92" i="5" s="1"/>
  <c r="M92" i="5" s="1"/>
  <c r="AB92" i="5"/>
  <c r="AC92" i="5"/>
  <c r="AD92" i="5"/>
  <c r="AE92" i="5"/>
  <c r="AF92" i="5"/>
  <c r="AG92" i="5"/>
  <c r="AI92" i="5"/>
  <c r="AJ92" i="5"/>
  <c r="AK92" i="5"/>
  <c r="AL92" i="5"/>
  <c r="AM92" i="5"/>
  <c r="AN92" i="5"/>
  <c r="AO92" i="5"/>
  <c r="AP92" i="5"/>
  <c r="X93" i="5"/>
  <c r="B93" i="5" s="1"/>
  <c r="Y93" i="5"/>
  <c r="Z93" i="5"/>
  <c r="AA93" i="5"/>
  <c r="D93" i="5" s="1"/>
  <c r="M93" i="5" s="1"/>
  <c r="AB93" i="5"/>
  <c r="AC93" i="5"/>
  <c r="AD93" i="5"/>
  <c r="AE93" i="5"/>
  <c r="AF93" i="5"/>
  <c r="AG93" i="5"/>
  <c r="AI93" i="5"/>
  <c r="AJ93" i="5"/>
  <c r="AK93" i="5"/>
  <c r="AL93" i="5"/>
  <c r="AM93" i="5"/>
  <c r="AN93" i="5"/>
  <c r="AO93" i="5"/>
  <c r="AP93" i="5"/>
  <c r="X94" i="5"/>
  <c r="B94" i="5" s="1"/>
  <c r="Y94" i="5"/>
  <c r="Z94" i="5"/>
  <c r="AA94" i="5"/>
  <c r="D94" i="5" s="1"/>
  <c r="M94" i="5" s="1"/>
  <c r="AB94" i="5"/>
  <c r="AC94" i="5"/>
  <c r="AD94" i="5"/>
  <c r="AE94" i="5"/>
  <c r="AF94" i="5"/>
  <c r="AG94" i="5"/>
  <c r="AI94" i="5"/>
  <c r="AJ94" i="5"/>
  <c r="AK94" i="5"/>
  <c r="AL94" i="5"/>
  <c r="AM94" i="5"/>
  <c r="AN94" i="5"/>
  <c r="AO94" i="5"/>
  <c r="AP94" i="5"/>
  <c r="X95" i="5"/>
  <c r="B95" i="5" s="1"/>
  <c r="Y95" i="5"/>
  <c r="Z95" i="5"/>
  <c r="AA95" i="5"/>
  <c r="E95" i="5" s="1"/>
  <c r="AB95" i="5"/>
  <c r="AC95" i="5"/>
  <c r="AD95" i="5"/>
  <c r="AE95" i="5"/>
  <c r="AF95" i="5"/>
  <c r="AG95" i="5"/>
  <c r="AI95" i="5"/>
  <c r="AJ95" i="5"/>
  <c r="AK95" i="5"/>
  <c r="AL95" i="5"/>
  <c r="AM95" i="5"/>
  <c r="AN95" i="5"/>
  <c r="AO95" i="5"/>
  <c r="AP95" i="5"/>
  <c r="X96" i="5"/>
  <c r="B96" i="5" s="1"/>
  <c r="Y96" i="5"/>
  <c r="Z96" i="5"/>
  <c r="AA96" i="5"/>
  <c r="D96" i="5" s="1"/>
  <c r="M96" i="5" s="1"/>
  <c r="AB96" i="5"/>
  <c r="AC96" i="5"/>
  <c r="AD96" i="5"/>
  <c r="AE96" i="5"/>
  <c r="AF96" i="5"/>
  <c r="AG96" i="5"/>
  <c r="AI96" i="5"/>
  <c r="AJ96" i="5"/>
  <c r="AK96" i="5"/>
  <c r="AL96" i="5"/>
  <c r="AM96" i="5"/>
  <c r="AN96" i="5"/>
  <c r="AO96" i="5"/>
  <c r="AP96" i="5"/>
  <c r="X97" i="5"/>
  <c r="B97" i="5" s="1"/>
  <c r="Y97" i="5"/>
  <c r="Z97" i="5"/>
  <c r="AA97" i="5"/>
  <c r="D97" i="5" s="1"/>
  <c r="M97" i="5" s="1"/>
  <c r="AB97" i="5"/>
  <c r="AC97" i="5"/>
  <c r="AD97" i="5"/>
  <c r="AE97" i="5"/>
  <c r="AF97" i="5"/>
  <c r="AG97" i="5"/>
  <c r="AI97" i="5"/>
  <c r="AJ97" i="5"/>
  <c r="AK97" i="5"/>
  <c r="AL97" i="5"/>
  <c r="AM97" i="5"/>
  <c r="AN97" i="5"/>
  <c r="AO97" i="5"/>
  <c r="AP97" i="5"/>
  <c r="X98" i="5"/>
  <c r="B98" i="5" s="1"/>
  <c r="Y98" i="5"/>
  <c r="Z98" i="5"/>
  <c r="AA98" i="5"/>
  <c r="D98" i="5" s="1"/>
  <c r="M98" i="5" s="1"/>
  <c r="AB98" i="5"/>
  <c r="AC98" i="5"/>
  <c r="AD98" i="5"/>
  <c r="AE98" i="5"/>
  <c r="AF98" i="5"/>
  <c r="AG98" i="5"/>
  <c r="AI98" i="5"/>
  <c r="AJ98" i="5"/>
  <c r="AK98" i="5"/>
  <c r="AL98" i="5"/>
  <c r="AM98" i="5"/>
  <c r="AN98" i="5"/>
  <c r="AO98" i="5"/>
  <c r="AP98" i="5"/>
  <c r="X99" i="5"/>
  <c r="B99" i="5" s="1"/>
  <c r="Y99" i="5"/>
  <c r="Z99" i="5"/>
  <c r="AA99" i="5"/>
  <c r="D99" i="5" s="1"/>
  <c r="M99" i="5" s="1"/>
  <c r="AB99" i="5"/>
  <c r="AC99" i="5"/>
  <c r="AD99" i="5"/>
  <c r="AE99" i="5"/>
  <c r="AF99" i="5"/>
  <c r="AG99" i="5"/>
  <c r="AI99" i="5"/>
  <c r="AJ99" i="5"/>
  <c r="AK99" i="5"/>
  <c r="AL99" i="5"/>
  <c r="AM99" i="5"/>
  <c r="AN99" i="5"/>
  <c r="AO99" i="5"/>
  <c r="AP99" i="5"/>
  <c r="X100" i="5"/>
  <c r="B100" i="5" s="1"/>
  <c r="Y100" i="5"/>
  <c r="Z100" i="5"/>
  <c r="AA100" i="5"/>
  <c r="D100" i="5" s="1"/>
  <c r="M100" i="5" s="1"/>
  <c r="AB100" i="5"/>
  <c r="AC100" i="5"/>
  <c r="AD100" i="5"/>
  <c r="AE100" i="5"/>
  <c r="AF100" i="5"/>
  <c r="AG100" i="5"/>
  <c r="AI100" i="5"/>
  <c r="AJ100" i="5"/>
  <c r="AK100" i="5"/>
  <c r="AL100" i="5"/>
  <c r="AM100" i="5"/>
  <c r="AN100" i="5"/>
  <c r="AO100" i="5"/>
  <c r="AP100" i="5"/>
  <c r="G3" i="6"/>
  <c r="B3" i="6" s="1"/>
  <c r="H3" i="6"/>
  <c r="I3" i="6"/>
  <c r="J3" i="6"/>
  <c r="K3" i="6"/>
  <c r="G4" i="6"/>
  <c r="B4" i="6" s="1"/>
  <c r="H4" i="6"/>
  <c r="I4" i="6"/>
  <c r="J4" i="6"/>
  <c r="K4" i="6"/>
  <c r="G5" i="6"/>
  <c r="B5" i="6" s="1"/>
  <c r="H5" i="6"/>
  <c r="I5" i="6"/>
  <c r="J5" i="6"/>
  <c r="K5" i="6"/>
  <c r="G6" i="6"/>
  <c r="B6" i="6" s="1"/>
  <c r="H6" i="6"/>
  <c r="I6" i="6"/>
  <c r="J6" i="6"/>
  <c r="K6" i="6"/>
  <c r="G7" i="6"/>
  <c r="B7" i="6" s="1"/>
  <c r="H7" i="6"/>
  <c r="I7" i="6"/>
  <c r="J7" i="6"/>
  <c r="K7" i="6"/>
  <c r="G8" i="6"/>
  <c r="B8" i="6" s="1"/>
  <c r="H8" i="6"/>
  <c r="I8" i="6"/>
  <c r="J8" i="6"/>
  <c r="K8" i="6"/>
  <c r="G9" i="6"/>
  <c r="B9" i="6" s="1"/>
  <c r="H9" i="6"/>
  <c r="I9" i="6"/>
  <c r="J9" i="6"/>
  <c r="K9" i="6"/>
  <c r="G10" i="6"/>
  <c r="B10" i="6" s="1"/>
  <c r="H10" i="6"/>
  <c r="I10" i="6"/>
  <c r="J10" i="6"/>
  <c r="K10" i="6"/>
  <c r="G11" i="6"/>
  <c r="B11" i="6" s="1"/>
  <c r="H11" i="6"/>
  <c r="I11" i="6"/>
  <c r="J11" i="6"/>
  <c r="K11" i="6"/>
  <c r="G12" i="6"/>
  <c r="B12" i="6" s="1"/>
  <c r="H12" i="6"/>
  <c r="I12" i="6"/>
  <c r="J12" i="6"/>
  <c r="K12" i="6"/>
  <c r="G13" i="6"/>
  <c r="B13" i="6" s="1"/>
  <c r="H13" i="6"/>
  <c r="I13" i="6"/>
  <c r="J13" i="6"/>
  <c r="K13" i="6"/>
  <c r="G14" i="6"/>
  <c r="B14" i="6" s="1"/>
  <c r="H14" i="6"/>
  <c r="I14" i="6"/>
  <c r="J14" i="6"/>
  <c r="K14" i="6"/>
  <c r="G15" i="6"/>
  <c r="B15" i="6" s="1"/>
  <c r="H15" i="6"/>
  <c r="I15" i="6"/>
  <c r="J15" i="6"/>
  <c r="K15" i="6"/>
  <c r="G16" i="6"/>
  <c r="B16" i="6" s="1"/>
  <c r="H16" i="6"/>
  <c r="I16" i="6"/>
  <c r="J16" i="6"/>
  <c r="K16" i="6"/>
  <c r="G17" i="6"/>
  <c r="B17" i="6" s="1"/>
  <c r="H17" i="6"/>
  <c r="I17" i="6"/>
  <c r="J17" i="6"/>
  <c r="K17" i="6"/>
  <c r="G18" i="6"/>
  <c r="B18" i="6" s="1"/>
  <c r="H18" i="6"/>
  <c r="I18" i="6"/>
  <c r="J18" i="6"/>
  <c r="K18" i="6"/>
  <c r="G19" i="6"/>
  <c r="B19" i="6" s="1"/>
  <c r="H19" i="6"/>
  <c r="I19" i="6"/>
  <c r="J19" i="6"/>
  <c r="K19" i="6"/>
  <c r="G20" i="6"/>
  <c r="B20" i="6" s="1"/>
  <c r="H20" i="6"/>
  <c r="I20" i="6"/>
  <c r="J20" i="6"/>
  <c r="K20" i="6"/>
  <c r="H2" i="6"/>
  <c r="I2" i="6"/>
  <c r="J2" i="6"/>
  <c r="K2" i="6"/>
  <c r="G2" i="6"/>
  <c r="B2" i="6" s="1"/>
  <c r="BK36" i="5"/>
  <c r="BL36" i="5"/>
  <c r="BM36" i="5"/>
  <c r="BN36" i="5"/>
  <c r="BO36" i="5"/>
  <c r="BP36" i="5"/>
  <c r="BQ36" i="5"/>
  <c r="BR36" i="5"/>
  <c r="BS36" i="5"/>
  <c r="BT36" i="5"/>
  <c r="BU36" i="5"/>
  <c r="BV36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K3" i="5"/>
  <c r="BL3" i="5"/>
  <c r="BM3" i="5"/>
  <c r="BN3" i="5"/>
  <c r="BO3" i="5"/>
  <c r="BP3" i="5"/>
  <c r="BQ3" i="5"/>
  <c r="BR3" i="5"/>
  <c r="BS3" i="5"/>
  <c r="BT3" i="5"/>
  <c r="BU3" i="5"/>
  <c r="BV3" i="5"/>
  <c r="BK4" i="5"/>
  <c r="BL4" i="5"/>
  <c r="BM4" i="5"/>
  <c r="BN4" i="5"/>
  <c r="BO4" i="5"/>
  <c r="BP4" i="5"/>
  <c r="BQ4" i="5"/>
  <c r="BR4" i="5"/>
  <c r="BS4" i="5"/>
  <c r="BT4" i="5"/>
  <c r="BU4" i="5"/>
  <c r="BV4" i="5"/>
  <c r="BK5" i="5"/>
  <c r="BL5" i="5"/>
  <c r="BM5" i="5"/>
  <c r="BN5" i="5"/>
  <c r="BO5" i="5"/>
  <c r="BP5" i="5"/>
  <c r="BQ5" i="5"/>
  <c r="BR5" i="5"/>
  <c r="BS5" i="5"/>
  <c r="BT5" i="5"/>
  <c r="BU5" i="5"/>
  <c r="BV5" i="5"/>
  <c r="BK6" i="5"/>
  <c r="BL6" i="5"/>
  <c r="BM6" i="5"/>
  <c r="BN6" i="5"/>
  <c r="BO6" i="5"/>
  <c r="BP6" i="5"/>
  <c r="BQ6" i="5"/>
  <c r="BR6" i="5"/>
  <c r="BS6" i="5"/>
  <c r="BT6" i="5"/>
  <c r="BU6" i="5"/>
  <c r="BV6" i="5"/>
  <c r="BK7" i="5"/>
  <c r="BL7" i="5"/>
  <c r="BM7" i="5"/>
  <c r="BN7" i="5"/>
  <c r="BO7" i="5"/>
  <c r="BP7" i="5"/>
  <c r="BQ7" i="5"/>
  <c r="BR7" i="5"/>
  <c r="BS7" i="5"/>
  <c r="BT7" i="5"/>
  <c r="BU7" i="5"/>
  <c r="BV7" i="5"/>
  <c r="BK8" i="5"/>
  <c r="BL8" i="5"/>
  <c r="BM8" i="5"/>
  <c r="BN8" i="5"/>
  <c r="BO8" i="5"/>
  <c r="BP8" i="5"/>
  <c r="BQ8" i="5"/>
  <c r="BR8" i="5"/>
  <c r="BS8" i="5"/>
  <c r="BT8" i="5"/>
  <c r="BU8" i="5"/>
  <c r="BV8" i="5"/>
  <c r="BK9" i="5"/>
  <c r="BL9" i="5"/>
  <c r="BM9" i="5"/>
  <c r="BN9" i="5"/>
  <c r="BO9" i="5"/>
  <c r="BP9" i="5"/>
  <c r="BQ9" i="5"/>
  <c r="BR9" i="5"/>
  <c r="BS9" i="5"/>
  <c r="BT9" i="5"/>
  <c r="BU9" i="5"/>
  <c r="BV9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X29" i="5"/>
  <c r="B29" i="5" s="1"/>
  <c r="Y29" i="5"/>
  <c r="Z29" i="5"/>
  <c r="AA29" i="5"/>
  <c r="D29" i="5" s="1"/>
  <c r="M29" i="5" s="1"/>
  <c r="AB29" i="5"/>
  <c r="AC29" i="5"/>
  <c r="AD29" i="5"/>
  <c r="AE29" i="5"/>
  <c r="AF29" i="5"/>
  <c r="AG29" i="5"/>
  <c r="AI29" i="5"/>
  <c r="AJ29" i="5"/>
  <c r="AK29" i="5"/>
  <c r="AL29" i="5"/>
  <c r="AM29" i="5"/>
  <c r="AN29" i="5"/>
  <c r="AO29" i="5"/>
  <c r="AP29" i="5"/>
  <c r="X30" i="5"/>
  <c r="B30" i="5" s="1"/>
  <c r="Y30" i="5"/>
  <c r="Z30" i="5"/>
  <c r="AA30" i="5"/>
  <c r="D30" i="5" s="1"/>
  <c r="M30" i="5" s="1"/>
  <c r="AB30" i="5"/>
  <c r="AC30" i="5"/>
  <c r="AD30" i="5"/>
  <c r="AE30" i="5"/>
  <c r="AF30" i="5"/>
  <c r="AG30" i="5"/>
  <c r="AI30" i="5"/>
  <c r="AJ30" i="5"/>
  <c r="AK30" i="5"/>
  <c r="AL30" i="5"/>
  <c r="AM30" i="5"/>
  <c r="AN30" i="5"/>
  <c r="AO30" i="5"/>
  <c r="AP30" i="5"/>
  <c r="X31" i="5"/>
  <c r="B31" i="5" s="1"/>
  <c r="Y31" i="5"/>
  <c r="Z31" i="5"/>
  <c r="AA31" i="5"/>
  <c r="D31" i="5" s="1"/>
  <c r="M31" i="5" s="1"/>
  <c r="AB31" i="5"/>
  <c r="AC31" i="5"/>
  <c r="AD31" i="5"/>
  <c r="AE31" i="5"/>
  <c r="AF31" i="5"/>
  <c r="AG31" i="5"/>
  <c r="AI31" i="5"/>
  <c r="AJ31" i="5"/>
  <c r="AK31" i="5"/>
  <c r="AL31" i="5"/>
  <c r="AM31" i="5"/>
  <c r="AN31" i="5"/>
  <c r="AO31" i="5"/>
  <c r="AP31" i="5"/>
  <c r="X32" i="5"/>
  <c r="B32" i="5" s="1"/>
  <c r="Y32" i="5"/>
  <c r="Z32" i="5"/>
  <c r="AA32" i="5"/>
  <c r="D32" i="5" s="1"/>
  <c r="M32" i="5" s="1"/>
  <c r="AB32" i="5"/>
  <c r="AC32" i="5"/>
  <c r="AD32" i="5"/>
  <c r="AE32" i="5"/>
  <c r="AF32" i="5"/>
  <c r="AG32" i="5"/>
  <c r="AI32" i="5"/>
  <c r="AJ32" i="5"/>
  <c r="AK32" i="5"/>
  <c r="AL32" i="5"/>
  <c r="AM32" i="5"/>
  <c r="AN32" i="5"/>
  <c r="AO32" i="5"/>
  <c r="AP32" i="5"/>
  <c r="X33" i="5"/>
  <c r="B33" i="5" s="1"/>
  <c r="Y33" i="5"/>
  <c r="Z33" i="5"/>
  <c r="AA33" i="5"/>
  <c r="D33" i="5" s="1"/>
  <c r="M33" i="5" s="1"/>
  <c r="AB33" i="5"/>
  <c r="AC33" i="5"/>
  <c r="AD33" i="5"/>
  <c r="AE33" i="5"/>
  <c r="AF33" i="5"/>
  <c r="AG33" i="5"/>
  <c r="AI33" i="5"/>
  <c r="AJ33" i="5"/>
  <c r="AK33" i="5"/>
  <c r="AL33" i="5"/>
  <c r="AM33" i="5"/>
  <c r="AN33" i="5"/>
  <c r="AO33" i="5"/>
  <c r="AP33" i="5"/>
  <c r="X34" i="5"/>
  <c r="B34" i="5" s="1"/>
  <c r="Y34" i="5"/>
  <c r="Z34" i="5"/>
  <c r="AA34" i="5"/>
  <c r="E34" i="5" s="1"/>
  <c r="AB34" i="5"/>
  <c r="AC34" i="5"/>
  <c r="AD34" i="5"/>
  <c r="AE34" i="5"/>
  <c r="AF34" i="5"/>
  <c r="AG34" i="5"/>
  <c r="AI34" i="5"/>
  <c r="AJ34" i="5"/>
  <c r="AK34" i="5"/>
  <c r="AL34" i="5"/>
  <c r="AM34" i="5"/>
  <c r="AN34" i="5"/>
  <c r="AO34" i="5"/>
  <c r="AP34" i="5"/>
  <c r="X35" i="5"/>
  <c r="B35" i="5" s="1"/>
  <c r="Y35" i="5"/>
  <c r="Z35" i="5"/>
  <c r="AA35" i="5"/>
  <c r="D35" i="5" s="1"/>
  <c r="M35" i="5" s="1"/>
  <c r="AB35" i="5"/>
  <c r="AC35" i="5"/>
  <c r="AD35" i="5"/>
  <c r="AE35" i="5"/>
  <c r="AF35" i="5"/>
  <c r="AG35" i="5"/>
  <c r="AI35" i="5"/>
  <c r="AJ35" i="5"/>
  <c r="AK35" i="5"/>
  <c r="AL35" i="5"/>
  <c r="AM35" i="5"/>
  <c r="AN35" i="5"/>
  <c r="AO35" i="5"/>
  <c r="AP35" i="5"/>
  <c r="X36" i="5"/>
  <c r="B36" i="5" s="1"/>
  <c r="Y36" i="5"/>
  <c r="Z36" i="5"/>
  <c r="AA36" i="5"/>
  <c r="D36" i="5" s="1"/>
  <c r="M36" i="5" s="1"/>
  <c r="AB36" i="5"/>
  <c r="AC36" i="5"/>
  <c r="AD36" i="5"/>
  <c r="AE36" i="5"/>
  <c r="AF36" i="5"/>
  <c r="AG36" i="5"/>
  <c r="AI36" i="5"/>
  <c r="AJ36" i="5"/>
  <c r="AK36" i="5"/>
  <c r="AL36" i="5"/>
  <c r="AM36" i="5"/>
  <c r="AN36" i="5"/>
  <c r="AO36" i="5"/>
  <c r="AP36" i="5"/>
  <c r="X37" i="5"/>
  <c r="B37" i="5" s="1"/>
  <c r="Y37" i="5"/>
  <c r="Z37" i="5"/>
  <c r="AA37" i="5"/>
  <c r="D37" i="5" s="1"/>
  <c r="M37" i="5" s="1"/>
  <c r="AB37" i="5"/>
  <c r="AC37" i="5"/>
  <c r="AD37" i="5"/>
  <c r="AE37" i="5"/>
  <c r="AF37" i="5"/>
  <c r="AG37" i="5"/>
  <c r="AI37" i="5"/>
  <c r="AJ37" i="5"/>
  <c r="AK37" i="5"/>
  <c r="AL37" i="5"/>
  <c r="AM37" i="5"/>
  <c r="AN37" i="5"/>
  <c r="AO37" i="5"/>
  <c r="AP37" i="5"/>
  <c r="X3" i="5"/>
  <c r="B3" i="5" s="1"/>
  <c r="Y3" i="5"/>
  <c r="Z3" i="5"/>
  <c r="AA3" i="5"/>
  <c r="E3" i="5" s="1"/>
  <c r="AB3" i="5"/>
  <c r="AC3" i="5"/>
  <c r="AD3" i="5"/>
  <c r="AE3" i="5"/>
  <c r="AF3" i="5"/>
  <c r="AG3" i="5"/>
  <c r="AI3" i="5"/>
  <c r="AJ3" i="5"/>
  <c r="AK3" i="5"/>
  <c r="AL3" i="5"/>
  <c r="AM3" i="5"/>
  <c r="AN3" i="5"/>
  <c r="AO3" i="5"/>
  <c r="AP3" i="5"/>
  <c r="X4" i="5"/>
  <c r="B4" i="5" s="1"/>
  <c r="Y4" i="5"/>
  <c r="Z4" i="5"/>
  <c r="AA4" i="5"/>
  <c r="D4" i="5" s="1"/>
  <c r="M4" i="5" s="1"/>
  <c r="AB4" i="5"/>
  <c r="AC4" i="5"/>
  <c r="AD4" i="5"/>
  <c r="AE4" i="5"/>
  <c r="AF4" i="5"/>
  <c r="AG4" i="5"/>
  <c r="AI4" i="5"/>
  <c r="AJ4" i="5"/>
  <c r="AK4" i="5"/>
  <c r="AL4" i="5"/>
  <c r="AM4" i="5"/>
  <c r="AN4" i="5"/>
  <c r="AO4" i="5"/>
  <c r="AP4" i="5"/>
  <c r="X5" i="5"/>
  <c r="B5" i="5" s="1"/>
  <c r="Y5" i="5"/>
  <c r="Z5" i="5"/>
  <c r="AA5" i="5"/>
  <c r="D5" i="5" s="1"/>
  <c r="M5" i="5" s="1"/>
  <c r="AB5" i="5"/>
  <c r="AC5" i="5"/>
  <c r="AD5" i="5"/>
  <c r="AE5" i="5"/>
  <c r="AF5" i="5"/>
  <c r="AG5" i="5"/>
  <c r="AI5" i="5"/>
  <c r="AJ5" i="5"/>
  <c r="AK5" i="5"/>
  <c r="AL5" i="5"/>
  <c r="AM5" i="5"/>
  <c r="AN5" i="5"/>
  <c r="AO5" i="5"/>
  <c r="AP5" i="5"/>
  <c r="X6" i="5"/>
  <c r="B6" i="5" s="1"/>
  <c r="Y6" i="5"/>
  <c r="Z6" i="5"/>
  <c r="AA6" i="5"/>
  <c r="D6" i="5" s="1"/>
  <c r="M6" i="5" s="1"/>
  <c r="AB6" i="5"/>
  <c r="AC6" i="5"/>
  <c r="AD6" i="5"/>
  <c r="AE6" i="5"/>
  <c r="AF6" i="5"/>
  <c r="AG6" i="5"/>
  <c r="AI6" i="5"/>
  <c r="AJ6" i="5"/>
  <c r="AK6" i="5"/>
  <c r="AL6" i="5"/>
  <c r="AM6" i="5"/>
  <c r="AN6" i="5"/>
  <c r="AO6" i="5"/>
  <c r="AP6" i="5"/>
  <c r="X7" i="5"/>
  <c r="B7" i="5" s="1"/>
  <c r="Y7" i="5"/>
  <c r="Z7" i="5"/>
  <c r="AA7" i="5"/>
  <c r="D7" i="5" s="1"/>
  <c r="M7" i="5" s="1"/>
  <c r="AB7" i="5"/>
  <c r="AC7" i="5"/>
  <c r="AD7" i="5"/>
  <c r="AE7" i="5"/>
  <c r="AF7" i="5"/>
  <c r="AG7" i="5"/>
  <c r="AI7" i="5"/>
  <c r="AJ7" i="5"/>
  <c r="AK7" i="5"/>
  <c r="AL7" i="5"/>
  <c r="AM7" i="5"/>
  <c r="AN7" i="5"/>
  <c r="AO7" i="5"/>
  <c r="AP7" i="5"/>
  <c r="X8" i="5"/>
  <c r="B8" i="5" s="1"/>
  <c r="Y8" i="5"/>
  <c r="Z8" i="5"/>
  <c r="AA8" i="5"/>
  <c r="D8" i="5" s="1"/>
  <c r="M8" i="5" s="1"/>
  <c r="AB8" i="5"/>
  <c r="AC8" i="5"/>
  <c r="AD8" i="5"/>
  <c r="AE8" i="5"/>
  <c r="AF8" i="5"/>
  <c r="AG8" i="5"/>
  <c r="AI8" i="5"/>
  <c r="AJ8" i="5"/>
  <c r="AK8" i="5"/>
  <c r="AL8" i="5"/>
  <c r="AM8" i="5"/>
  <c r="AN8" i="5"/>
  <c r="AO8" i="5"/>
  <c r="AP8" i="5"/>
  <c r="X9" i="5"/>
  <c r="B9" i="5" s="1"/>
  <c r="Y9" i="5"/>
  <c r="Z9" i="5"/>
  <c r="AA9" i="5"/>
  <c r="D9" i="5" s="1"/>
  <c r="M9" i="5" s="1"/>
  <c r="AB9" i="5"/>
  <c r="AC9" i="5"/>
  <c r="AD9" i="5"/>
  <c r="AE9" i="5"/>
  <c r="AF9" i="5"/>
  <c r="AG9" i="5"/>
  <c r="AI9" i="5"/>
  <c r="AJ9" i="5"/>
  <c r="AK9" i="5"/>
  <c r="AL9" i="5"/>
  <c r="AM9" i="5"/>
  <c r="AN9" i="5"/>
  <c r="AO9" i="5"/>
  <c r="AP9" i="5"/>
  <c r="X10" i="5"/>
  <c r="B10" i="5" s="1"/>
  <c r="Y10" i="5"/>
  <c r="Z10" i="5"/>
  <c r="AA10" i="5"/>
  <c r="D10" i="5" s="1"/>
  <c r="M10" i="5" s="1"/>
  <c r="AB10" i="5"/>
  <c r="AC10" i="5"/>
  <c r="AD10" i="5"/>
  <c r="AE10" i="5"/>
  <c r="AF10" i="5"/>
  <c r="AG10" i="5"/>
  <c r="AI10" i="5"/>
  <c r="AJ10" i="5"/>
  <c r="AK10" i="5"/>
  <c r="AL10" i="5"/>
  <c r="AM10" i="5"/>
  <c r="AN10" i="5"/>
  <c r="AO10" i="5"/>
  <c r="AP10" i="5"/>
  <c r="X11" i="5"/>
  <c r="B11" i="5" s="1"/>
  <c r="Y11" i="5"/>
  <c r="Z11" i="5"/>
  <c r="AA11" i="5"/>
  <c r="D11" i="5" s="1"/>
  <c r="M11" i="5" s="1"/>
  <c r="AB11" i="5"/>
  <c r="AC11" i="5"/>
  <c r="AD11" i="5"/>
  <c r="AE11" i="5"/>
  <c r="AF11" i="5"/>
  <c r="AG11" i="5"/>
  <c r="AI11" i="5"/>
  <c r="AJ11" i="5"/>
  <c r="AK11" i="5"/>
  <c r="AL11" i="5"/>
  <c r="AM11" i="5"/>
  <c r="AN11" i="5"/>
  <c r="AO11" i="5"/>
  <c r="AP11" i="5"/>
  <c r="X12" i="5"/>
  <c r="B12" i="5" s="1"/>
  <c r="Y12" i="5"/>
  <c r="Z12" i="5"/>
  <c r="AA12" i="5"/>
  <c r="E12" i="5" s="1"/>
  <c r="AB12" i="5"/>
  <c r="AC12" i="5"/>
  <c r="AD12" i="5"/>
  <c r="AE12" i="5"/>
  <c r="AF12" i="5"/>
  <c r="AG12" i="5"/>
  <c r="AI12" i="5"/>
  <c r="AJ12" i="5"/>
  <c r="AK12" i="5"/>
  <c r="AL12" i="5"/>
  <c r="AM12" i="5"/>
  <c r="AN12" i="5"/>
  <c r="AO12" i="5"/>
  <c r="AP12" i="5"/>
  <c r="X13" i="5"/>
  <c r="B13" i="5" s="1"/>
  <c r="Y13" i="5"/>
  <c r="Z13" i="5"/>
  <c r="AA13" i="5"/>
  <c r="D13" i="5" s="1"/>
  <c r="M13" i="5" s="1"/>
  <c r="AB13" i="5"/>
  <c r="AC13" i="5"/>
  <c r="AD13" i="5"/>
  <c r="AE13" i="5"/>
  <c r="AF13" i="5"/>
  <c r="AG13" i="5"/>
  <c r="AI13" i="5"/>
  <c r="AJ13" i="5"/>
  <c r="AK13" i="5"/>
  <c r="AL13" i="5"/>
  <c r="AM13" i="5"/>
  <c r="AN13" i="5"/>
  <c r="AO13" i="5"/>
  <c r="AP13" i="5"/>
  <c r="X14" i="5"/>
  <c r="B14" i="5" s="1"/>
  <c r="Y14" i="5"/>
  <c r="Z14" i="5"/>
  <c r="AA14" i="5"/>
  <c r="E14" i="5" s="1"/>
  <c r="AB14" i="5"/>
  <c r="AC14" i="5"/>
  <c r="AD14" i="5"/>
  <c r="AE14" i="5"/>
  <c r="AF14" i="5"/>
  <c r="AG14" i="5"/>
  <c r="AI14" i="5"/>
  <c r="AJ14" i="5"/>
  <c r="AK14" i="5"/>
  <c r="AL14" i="5"/>
  <c r="AM14" i="5"/>
  <c r="AN14" i="5"/>
  <c r="AO14" i="5"/>
  <c r="AP14" i="5"/>
  <c r="X15" i="5"/>
  <c r="B15" i="5" s="1"/>
  <c r="Y15" i="5"/>
  <c r="Z15" i="5"/>
  <c r="AA15" i="5"/>
  <c r="D15" i="5" s="1"/>
  <c r="M15" i="5" s="1"/>
  <c r="AB15" i="5"/>
  <c r="AC15" i="5"/>
  <c r="AD15" i="5"/>
  <c r="AE15" i="5"/>
  <c r="AF15" i="5"/>
  <c r="AG15" i="5"/>
  <c r="AI15" i="5"/>
  <c r="AJ15" i="5"/>
  <c r="AK15" i="5"/>
  <c r="AL15" i="5"/>
  <c r="AM15" i="5"/>
  <c r="AN15" i="5"/>
  <c r="AO15" i="5"/>
  <c r="AP15" i="5"/>
  <c r="X16" i="5"/>
  <c r="B16" i="5" s="1"/>
  <c r="Y16" i="5"/>
  <c r="Z16" i="5"/>
  <c r="AA16" i="5"/>
  <c r="E16" i="5" s="1"/>
  <c r="AB16" i="5"/>
  <c r="AC16" i="5"/>
  <c r="AD16" i="5"/>
  <c r="AE16" i="5"/>
  <c r="AF16" i="5"/>
  <c r="AG16" i="5"/>
  <c r="AI16" i="5"/>
  <c r="AJ16" i="5"/>
  <c r="AK16" i="5"/>
  <c r="AL16" i="5"/>
  <c r="AM16" i="5"/>
  <c r="AN16" i="5"/>
  <c r="AO16" i="5"/>
  <c r="AP16" i="5"/>
  <c r="X17" i="5"/>
  <c r="B17" i="5" s="1"/>
  <c r="Y17" i="5"/>
  <c r="Z17" i="5"/>
  <c r="AA17" i="5"/>
  <c r="D17" i="5" s="1"/>
  <c r="M17" i="5" s="1"/>
  <c r="AB17" i="5"/>
  <c r="AC17" i="5"/>
  <c r="AD17" i="5"/>
  <c r="AE17" i="5"/>
  <c r="AF17" i="5"/>
  <c r="AG17" i="5"/>
  <c r="AI17" i="5"/>
  <c r="AJ17" i="5"/>
  <c r="AK17" i="5"/>
  <c r="AL17" i="5"/>
  <c r="AM17" i="5"/>
  <c r="AN17" i="5"/>
  <c r="AO17" i="5"/>
  <c r="AP17" i="5"/>
  <c r="X18" i="5"/>
  <c r="B18" i="5" s="1"/>
  <c r="Y18" i="5"/>
  <c r="Z18" i="5"/>
  <c r="AA18" i="5"/>
  <c r="D18" i="5" s="1"/>
  <c r="M18" i="5" s="1"/>
  <c r="AB18" i="5"/>
  <c r="AC18" i="5"/>
  <c r="AD18" i="5"/>
  <c r="AE18" i="5"/>
  <c r="AF18" i="5"/>
  <c r="AG18" i="5"/>
  <c r="AI18" i="5"/>
  <c r="AJ18" i="5"/>
  <c r="AK18" i="5"/>
  <c r="AL18" i="5"/>
  <c r="AM18" i="5"/>
  <c r="AN18" i="5"/>
  <c r="AO18" i="5"/>
  <c r="AP18" i="5"/>
  <c r="X19" i="5"/>
  <c r="B19" i="5" s="1"/>
  <c r="Y19" i="5"/>
  <c r="Z19" i="5"/>
  <c r="AA19" i="5"/>
  <c r="E19" i="5" s="1"/>
  <c r="AB19" i="5"/>
  <c r="AC19" i="5"/>
  <c r="AD19" i="5"/>
  <c r="AE19" i="5"/>
  <c r="AF19" i="5"/>
  <c r="AG19" i="5"/>
  <c r="AI19" i="5"/>
  <c r="AJ19" i="5"/>
  <c r="AK19" i="5"/>
  <c r="AL19" i="5"/>
  <c r="AM19" i="5"/>
  <c r="AN19" i="5"/>
  <c r="AO19" i="5"/>
  <c r="AP19" i="5"/>
  <c r="X20" i="5"/>
  <c r="B20" i="5" s="1"/>
  <c r="Y20" i="5"/>
  <c r="Z20" i="5"/>
  <c r="AA20" i="5"/>
  <c r="D20" i="5" s="1"/>
  <c r="M20" i="5" s="1"/>
  <c r="AB20" i="5"/>
  <c r="AC20" i="5"/>
  <c r="AD20" i="5"/>
  <c r="AE20" i="5"/>
  <c r="AF20" i="5"/>
  <c r="AG20" i="5"/>
  <c r="AI20" i="5"/>
  <c r="AJ20" i="5"/>
  <c r="AK20" i="5"/>
  <c r="AL20" i="5"/>
  <c r="AM20" i="5"/>
  <c r="AN20" i="5"/>
  <c r="AO20" i="5"/>
  <c r="AP20" i="5"/>
  <c r="X21" i="5"/>
  <c r="B21" i="5" s="1"/>
  <c r="Y21" i="5"/>
  <c r="Z21" i="5"/>
  <c r="AA21" i="5"/>
  <c r="D21" i="5" s="1"/>
  <c r="M21" i="5" s="1"/>
  <c r="AB21" i="5"/>
  <c r="AC21" i="5"/>
  <c r="AD21" i="5"/>
  <c r="AE21" i="5"/>
  <c r="AF21" i="5"/>
  <c r="AG21" i="5"/>
  <c r="AI21" i="5"/>
  <c r="AJ21" i="5"/>
  <c r="AK21" i="5"/>
  <c r="AL21" i="5"/>
  <c r="AM21" i="5"/>
  <c r="AN21" i="5"/>
  <c r="AO21" i="5"/>
  <c r="AP21" i="5"/>
  <c r="X22" i="5"/>
  <c r="B22" i="5" s="1"/>
  <c r="Y22" i="5"/>
  <c r="Z22" i="5"/>
  <c r="AA22" i="5"/>
  <c r="D22" i="5" s="1"/>
  <c r="M22" i="5" s="1"/>
  <c r="AB22" i="5"/>
  <c r="AC22" i="5"/>
  <c r="AD22" i="5"/>
  <c r="AE22" i="5"/>
  <c r="AF22" i="5"/>
  <c r="AG22" i="5"/>
  <c r="AI22" i="5"/>
  <c r="AJ22" i="5"/>
  <c r="AK22" i="5"/>
  <c r="AL22" i="5"/>
  <c r="AM22" i="5"/>
  <c r="AN22" i="5"/>
  <c r="AO22" i="5"/>
  <c r="AP22" i="5"/>
  <c r="X23" i="5"/>
  <c r="B23" i="5" s="1"/>
  <c r="Y23" i="5"/>
  <c r="Z23" i="5"/>
  <c r="AA23" i="5"/>
  <c r="D23" i="5" s="1"/>
  <c r="M23" i="5" s="1"/>
  <c r="AB23" i="5"/>
  <c r="AC23" i="5"/>
  <c r="AD23" i="5"/>
  <c r="AE23" i="5"/>
  <c r="AF23" i="5"/>
  <c r="AG23" i="5"/>
  <c r="AI23" i="5"/>
  <c r="AJ23" i="5"/>
  <c r="AK23" i="5"/>
  <c r="AL23" i="5"/>
  <c r="AM23" i="5"/>
  <c r="AN23" i="5"/>
  <c r="AO23" i="5"/>
  <c r="AP23" i="5"/>
  <c r="X24" i="5"/>
  <c r="B24" i="5" s="1"/>
  <c r="Y24" i="5"/>
  <c r="Z24" i="5"/>
  <c r="AA24" i="5"/>
  <c r="D24" i="5" s="1"/>
  <c r="M24" i="5" s="1"/>
  <c r="AB24" i="5"/>
  <c r="AC24" i="5"/>
  <c r="AD24" i="5"/>
  <c r="AE24" i="5"/>
  <c r="AF24" i="5"/>
  <c r="AG24" i="5"/>
  <c r="AI24" i="5"/>
  <c r="AJ24" i="5"/>
  <c r="AK24" i="5"/>
  <c r="AL24" i="5"/>
  <c r="AM24" i="5"/>
  <c r="AN24" i="5"/>
  <c r="AO24" i="5"/>
  <c r="AP24" i="5"/>
  <c r="X25" i="5"/>
  <c r="B25" i="5" s="1"/>
  <c r="Y25" i="5"/>
  <c r="Z25" i="5"/>
  <c r="AA25" i="5"/>
  <c r="D25" i="5" s="1"/>
  <c r="M25" i="5" s="1"/>
  <c r="AB25" i="5"/>
  <c r="AC25" i="5"/>
  <c r="AD25" i="5"/>
  <c r="AE25" i="5"/>
  <c r="AF25" i="5"/>
  <c r="AG25" i="5"/>
  <c r="AI25" i="5"/>
  <c r="AJ25" i="5"/>
  <c r="AK25" i="5"/>
  <c r="AL25" i="5"/>
  <c r="AM25" i="5"/>
  <c r="AN25" i="5"/>
  <c r="AO25" i="5"/>
  <c r="AP25" i="5"/>
  <c r="X26" i="5"/>
  <c r="B26" i="5" s="1"/>
  <c r="Y26" i="5"/>
  <c r="Z26" i="5"/>
  <c r="AA26" i="5"/>
  <c r="D26" i="5" s="1"/>
  <c r="M26" i="5" s="1"/>
  <c r="AB26" i="5"/>
  <c r="AC26" i="5"/>
  <c r="AD26" i="5"/>
  <c r="AE26" i="5"/>
  <c r="AF26" i="5"/>
  <c r="AG26" i="5"/>
  <c r="AI26" i="5"/>
  <c r="AJ26" i="5"/>
  <c r="AK26" i="5"/>
  <c r="AL26" i="5"/>
  <c r="AM26" i="5"/>
  <c r="AN26" i="5"/>
  <c r="AO26" i="5"/>
  <c r="AP26" i="5"/>
  <c r="X27" i="5"/>
  <c r="B27" i="5" s="1"/>
  <c r="Y27" i="5"/>
  <c r="Z27" i="5"/>
  <c r="AA27" i="5"/>
  <c r="D27" i="5" s="1"/>
  <c r="M27" i="5" s="1"/>
  <c r="AB27" i="5"/>
  <c r="AC27" i="5"/>
  <c r="AD27" i="5"/>
  <c r="AE27" i="5"/>
  <c r="AF27" i="5"/>
  <c r="AG27" i="5"/>
  <c r="AI27" i="5"/>
  <c r="AJ27" i="5"/>
  <c r="AK27" i="5"/>
  <c r="AL27" i="5"/>
  <c r="AM27" i="5"/>
  <c r="AN27" i="5"/>
  <c r="AO27" i="5"/>
  <c r="AP27" i="5"/>
  <c r="X28" i="5"/>
  <c r="B28" i="5" s="1"/>
  <c r="Y28" i="5"/>
  <c r="Z28" i="5"/>
  <c r="AA28" i="5"/>
  <c r="D28" i="5" s="1"/>
  <c r="M28" i="5" s="1"/>
  <c r="AB28" i="5"/>
  <c r="AC28" i="5"/>
  <c r="AD28" i="5"/>
  <c r="AE28" i="5"/>
  <c r="AF28" i="5"/>
  <c r="AG28" i="5"/>
  <c r="AI28" i="5"/>
  <c r="AJ28" i="5"/>
  <c r="AK28" i="5"/>
  <c r="AL28" i="5"/>
  <c r="AM28" i="5"/>
  <c r="AN28" i="5"/>
  <c r="AO28" i="5"/>
  <c r="AP28" i="5"/>
  <c r="BV2" i="5"/>
  <c r="BU2" i="5"/>
  <c r="BT2" i="5"/>
  <c r="BS2" i="5"/>
  <c r="BR2" i="5"/>
  <c r="BQ2" i="5"/>
  <c r="BP2" i="5"/>
  <c r="BO2" i="5"/>
  <c r="BN2" i="5"/>
  <c r="BM2" i="5"/>
  <c r="BL2" i="5"/>
  <c r="BK2" i="5"/>
  <c r="AJ2" i="5"/>
  <c r="AK2" i="5"/>
  <c r="AL2" i="5"/>
  <c r="AM2" i="5"/>
  <c r="AN2" i="5"/>
  <c r="AC2" i="5"/>
  <c r="AD2" i="5"/>
  <c r="AE2" i="5"/>
  <c r="AF2" i="5"/>
  <c r="AG2" i="5"/>
  <c r="AB2" i="5"/>
  <c r="AI2" i="5"/>
  <c r="AY100" i="5"/>
  <c r="AY99" i="5"/>
  <c r="AY98" i="5"/>
  <c r="AY96" i="5"/>
  <c r="AY97" i="5"/>
  <c r="AY95" i="5"/>
  <c r="AO2" i="5"/>
  <c r="AP2" i="5"/>
  <c r="AA2" i="5"/>
  <c r="D2" i="5" s="1"/>
  <c r="M2" i="5" s="1"/>
  <c r="Z2" i="5"/>
  <c r="Y2" i="5"/>
  <c r="X2" i="5"/>
  <c r="B2" i="5" s="1"/>
  <c r="W3" i="4"/>
  <c r="V3" i="4" s="1"/>
  <c r="W4" i="4"/>
  <c r="V4" i="4" s="1"/>
  <c r="W5" i="4"/>
  <c r="V5" i="4" s="1"/>
  <c r="W6" i="4"/>
  <c r="V6" i="4" s="1"/>
  <c r="W7" i="4"/>
  <c r="V7" i="4" s="1"/>
  <c r="W8" i="4"/>
  <c r="V8" i="4" s="1"/>
  <c r="W9" i="4"/>
  <c r="V9" i="4" s="1"/>
  <c r="W10" i="4"/>
  <c r="V10" i="4" s="1"/>
  <c r="W11" i="4"/>
  <c r="V11" i="4" s="1"/>
  <c r="W12" i="4"/>
  <c r="V12" i="4" s="1"/>
  <c r="W13" i="4"/>
  <c r="V13" i="4" s="1"/>
  <c r="W14" i="4"/>
  <c r="V14" i="4" s="1"/>
  <c r="W15" i="4"/>
  <c r="V15" i="4" s="1"/>
  <c r="W16" i="4"/>
  <c r="V16" i="4" s="1"/>
  <c r="W17" i="4"/>
  <c r="V17" i="4" s="1"/>
  <c r="W18" i="4"/>
  <c r="V18" i="4" s="1"/>
  <c r="W19" i="4"/>
  <c r="V19" i="4" s="1"/>
  <c r="W20" i="4"/>
  <c r="V20" i="4" s="1"/>
  <c r="W2" i="4"/>
  <c r="V2" i="4" s="1"/>
  <c r="S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R8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" i="4"/>
  <c r="N3" i="4"/>
  <c r="I3" i="4" s="1"/>
  <c r="O3" i="4"/>
  <c r="Q3" i="4"/>
  <c r="R3" i="4"/>
  <c r="N4" i="4"/>
  <c r="B4" i="4" s="1"/>
  <c r="O4" i="4"/>
  <c r="Q4" i="4"/>
  <c r="R4" i="4"/>
  <c r="N5" i="4"/>
  <c r="I5" i="4" s="1"/>
  <c r="O5" i="4"/>
  <c r="Q5" i="4"/>
  <c r="R5" i="4"/>
  <c r="N6" i="4"/>
  <c r="B6" i="4" s="1"/>
  <c r="O6" i="4"/>
  <c r="Q6" i="4"/>
  <c r="R6" i="4"/>
  <c r="N7" i="4"/>
  <c r="I7" i="4" s="1"/>
  <c r="O7" i="4"/>
  <c r="Q7" i="4"/>
  <c r="R7" i="4"/>
  <c r="N8" i="4"/>
  <c r="I8" i="4" s="1"/>
  <c r="O8" i="4"/>
  <c r="Q8" i="4"/>
  <c r="N9" i="4"/>
  <c r="I9" i="4" s="1"/>
  <c r="O9" i="4"/>
  <c r="Q9" i="4"/>
  <c r="R9" i="4"/>
  <c r="N10" i="4"/>
  <c r="B10" i="4" s="1"/>
  <c r="O10" i="4"/>
  <c r="Q10" i="4"/>
  <c r="R10" i="4"/>
  <c r="N11" i="4"/>
  <c r="I11" i="4" s="1"/>
  <c r="O11" i="4"/>
  <c r="Q11" i="4"/>
  <c r="R11" i="4"/>
  <c r="N12" i="4"/>
  <c r="I12" i="4" s="1"/>
  <c r="O12" i="4"/>
  <c r="Q12" i="4"/>
  <c r="R12" i="4"/>
  <c r="N13" i="4"/>
  <c r="I13" i="4" s="1"/>
  <c r="O13" i="4"/>
  <c r="Q13" i="4"/>
  <c r="R13" i="4"/>
  <c r="N14" i="4"/>
  <c r="B14" i="4" s="1"/>
  <c r="O14" i="4"/>
  <c r="Q14" i="4"/>
  <c r="R14" i="4"/>
  <c r="N15" i="4"/>
  <c r="B15" i="4" s="1"/>
  <c r="O15" i="4"/>
  <c r="Q15" i="4"/>
  <c r="R15" i="4"/>
  <c r="N16" i="4"/>
  <c r="B16" i="4" s="1"/>
  <c r="O16" i="4"/>
  <c r="Q16" i="4"/>
  <c r="R16" i="4"/>
  <c r="N17" i="4"/>
  <c r="B17" i="4" s="1"/>
  <c r="O17" i="4"/>
  <c r="Q17" i="4"/>
  <c r="R17" i="4"/>
  <c r="N18" i="4"/>
  <c r="I18" i="4" s="1"/>
  <c r="O18" i="4"/>
  <c r="Q18" i="4"/>
  <c r="R18" i="4"/>
  <c r="N19" i="4"/>
  <c r="I19" i="4" s="1"/>
  <c r="O19" i="4"/>
  <c r="Q19" i="4"/>
  <c r="R19" i="4"/>
  <c r="N20" i="4"/>
  <c r="I20" i="4" s="1"/>
  <c r="O20" i="4"/>
  <c r="Q20" i="4"/>
  <c r="R20" i="4"/>
  <c r="AG5" i="4"/>
  <c r="AG4" i="4"/>
  <c r="AG3" i="4"/>
  <c r="AG1" i="4"/>
  <c r="AG2" i="4"/>
  <c r="R2" i="4"/>
  <c r="Q2" i="4"/>
  <c r="O2" i="4"/>
  <c r="N2" i="4"/>
  <c r="B2" i="4" s="1"/>
  <c r="K3" i="2"/>
  <c r="B3" i="2" s="1"/>
  <c r="L3" i="2"/>
  <c r="C3" i="2" s="1"/>
  <c r="M3" i="2"/>
  <c r="O3" i="2"/>
  <c r="Q3" i="2"/>
  <c r="K4" i="2"/>
  <c r="B4" i="2" s="1"/>
  <c r="L4" i="2"/>
  <c r="C4" i="2" s="1"/>
  <c r="M4" i="2"/>
  <c r="O4" i="2"/>
  <c r="Q4" i="2"/>
  <c r="K5" i="2"/>
  <c r="B5" i="2" s="1"/>
  <c r="L5" i="2"/>
  <c r="C5" i="2" s="1"/>
  <c r="M5" i="2"/>
  <c r="O5" i="2"/>
  <c r="Q5" i="2"/>
  <c r="K6" i="2"/>
  <c r="B6" i="2" s="1"/>
  <c r="L6" i="2"/>
  <c r="C6" i="2" s="1"/>
  <c r="M6" i="2"/>
  <c r="O6" i="2"/>
  <c r="Q6" i="2"/>
  <c r="K7" i="2"/>
  <c r="B7" i="2" s="1"/>
  <c r="L7" i="2"/>
  <c r="C7" i="2" s="1"/>
  <c r="M7" i="2"/>
  <c r="O7" i="2"/>
  <c r="Q7" i="2"/>
  <c r="K8" i="2"/>
  <c r="B8" i="2" s="1"/>
  <c r="L8" i="2"/>
  <c r="C8" i="2" s="1"/>
  <c r="M8" i="2"/>
  <c r="O8" i="2"/>
  <c r="Q8" i="2"/>
  <c r="K9" i="2"/>
  <c r="B9" i="2" s="1"/>
  <c r="L9" i="2"/>
  <c r="C9" i="2" s="1"/>
  <c r="M9" i="2"/>
  <c r="O9" i="2"/>
  <c r="Q9" i="2"/>
  <c r="K10" i="2"/>
  <c r="B10" i="2" s="1"/>
  <c r="L10" i="2"/>
  <c r="C10" i="2" s="1"/>
  <c r="M10" i="2"/>
  <c r="O10" i="2"/>
  <c r="Q10" i="2"/>
  <c r="K11" i="2"/>
  <c r="B11" i="2" s="1"/>
  <c r="L11" i="2"/>
  <c r="C11" i="2" s="1"/>
  <c r="M11" i="2"/>
  <c r="O11" i="2"/>
  <c r="Q11" i="2"/>
  <c r="K12" i="2"/>
  <c r="B12" i="2" s="1"/>
  <c r="L12" i="2"/>
  <c r="C12" i="2" s="1"/>
  <c r="M12" i="2"/>
  <c r="O12" i="2"/>
  <c r="Q12" i="2"/>
  <c r="K13" i="2"/>
  <c r="B13" i="2" s="1"/>
  <c r="L13" i="2"/>
  <c r="C13" i="2" s="1"/>
  <c r="M13" i="2"/>
  <c r="O13" i="2"/>
  <c r="Q13" i="2"/>
  <c r="K14" i="2"/>
  <c r="B14" i="2" s="1"/>
  <c r="L14" i="2"/>
  <c r="C14" i="2" s="1"/>
  <c r="M14" i="2"/>
  <c r="O14" i="2"/>
  <c r="Q14" i="2"/>
  <c r="K15" i="2"/>
  <c r="B15" i="2" s="1"/>
  <c r="L15" i="2"/>
  <c r="C15" i="2" s="1"/>
  <c r="M15" i="2"/>
  <c r="O15" i="2"/>
  <c r="Q15" i="2"/>
  <c r="K16" i="2"/>
  <c r="B16" i="2" s="1"/>
  <c r="L16" i="2"/>
  <c r="C16" i="2" s="1"/>
  <c r="M16" i="2"/>
  <c r="O16" i="2"/>
  <c r="Q16" i="2"/>
  <c r="K17" i="2"/>
  <c r="B17" i="2" s="1"/>
  <c r="L17" i="2"/>
  <c r="C17" i="2" s="1"/>
  <c r="M17" i="2"/>
  <c r="O17" i="2"/>
  <c r="Q17" i="2"/>
  <c r="K18" i="2"/>
  <c r="B18" i="2" s="1"/>
  <c r="L18" i="2"/>
  <c r="C18" i="2" s="1"/>
  <c r="M18" i="2"/>
  <c r="O18" i="2"/>
  <c r="Q18" i="2"/>
  <c r="K19" i="2"/>
  <c r="B19" i="2" s="1"/>
  <c r="L19" i="2"/>
  <c r="C19" i="2" s="1"/>
  <c r="M19" i="2"/>
  <c r="O19" i="2"/>
  <c r="Q19" i="2"/>
  <c r="K20" i="2"/>
  <c r="B20" i="2" s="1"/>
  <c r="L20" i="2"/>
  <c r="C20" i="2" s="1"/>
  <c r="M20" i="2"/>
  <c r="O20" i="2"/>
  <c r="Q20" i="2"/>
  <c r="Q2" i="2"/>
  <c r="O2" i="2"/>
  <c r="AV4" i="2"/>
  <c r="AV5" i="2" s="1"/>
  <c r="AV6" i="2" s="1"/>
  <c r="AV7" i="2" s="1"/>
  <c r="AV8" i="2" s="1"/>
  <c r="AV9" i="2" s="1"/>
  <c r="AU4" i="2"/>
  <c r="AU5" i="2" s="1"/>
  <c r="AU6" i="2" s="1"/>
  <c r="AU7" i="2" s="1"/>
  <c r="AU8" i="2" s="1"/>
  <c r="AU9" i="2" s="1"/>
  <c r="AQ5" i="2"/>
  <c r="AQ6" i="2" s="1"/>
  <c r="AQ7" i="2" s="1"/>
  <c r="AQ8" i="2" s="1"/>
  <c r="AQ9" i="2" s="1"/>
  <c r="AR4" i="2"/>
  <c r="AR5" i="2" s="1"/>
  <c r="AR6" i="2" s="1"/>
  <c r="AR7" i="2" s="1"/>
  <c r="AR8" i="2" s="1"/>
  <c r="AR9" i="2" s="1"/>
  <c r="AQ4" i="2"/>
  <c r="AN4" i="2"/>
  <c r="AN5" i="2" s="1"/>
  <c r="AN6" i="2" s="1"/>
  <c r="AN7" i="2" s="1"/>
  <c r="AN8" i="2" s="1"/>
  <c r="AN9" i="2" s="1"/>
  <c r="AN10" i="2" s="1"/>
  <c r="AN11" i="2" s="1"/>
  <c r="AM5" i="2"/>
  <c r="AM6" i="2" s="1"/>
  <c r="AM7" i="2" s="1"/>
  <c r="AM8" i="2" s="1"/>
  <c r="AM9" i="2" s="1"/>
  <c r="AM10" i="2" s="1"/>
  <c r="AM11" i="2" s="1"/>
  <c r="AM4" i="2"/>
  <c r="DR18" i="1"/>
  <c r="DR17" i="1"/>
  <c r="L353" i="1"/>
  <c r="K353" i="1" s="1" a="1"/>
  <c r="K353" i="1" s="1"/>
  <c r="L354" i="1"/>
  <c r="K354" i="1" s="1" a="1"/>
  <c r="K354" i="1" s="1"/>
  <c r="L355" i="1"/>
  <c r="K355" i="1" s="1" a="1"/>
  <c r="K355" i="1" s="1"/>
  <c r="L356" i="1"/>
  <c r="K356" i="1" s="1" a="1"/>
  <c r="K356" i="1" s="1"/>
  <c r="L357" i="1"/>
  <c r="K357" i="1" s="1" a="1"/>
  <c r="K357" i="1" s="1"/>
  <c r="M2" i="2"/>
  <c r="K3" i="3"/>
  <c r="B3" i="3" s="1"/>
  <c r="L3" i="3"/>
  <c r="C3" i="3" s="1"/>
  <c r="M3" i="3"/>
  <c r="N3" i="3"/>
  <c r="O3" i="3"/>
  <c r="P3" i="3"/>
  <c r="Q3" i="3"/>
  <c r="R3" i="3"/>
  <c r="S3" i="3"/>
  <c r="K4" i="3"/>
  <c r="B4" i="3" s="1"/>
  <c r="L4" i="3"/>
  <c r="C4" i="3" s="1"/>
  <c r="M4" i="3"/>
  <c r="N4" i="3"/>
  <c r="O4" i="3"/>
  <c r="P4" i="3"/>
  <c r="Q4" i="3"/>
  <c r="R4" i="3"/>
  <c r="S4" i="3"/>
  <c r="K5" i="3"/>
  <c r="B5" i="3" s="1"/>
  <c r="L5" i="3"/>
  <c r="C5" i="3" s="1"/>
  <c r="M5" i="3"/>
  <c r="N5" i="3"/>
  <c r="O5" i="3"/>
  <c r="P5" i="3"/>
  <c r="Q5" i="3"/>
  <c r="R5" i="3"/>
  <c r="S5" i="3"/>
  <c r="K6" i="3"/>
  <c r="B6" i="3" s="1"/>
  <c r="L6" i="3"/>
  <c r="C6" i="3" s="1"/>
  <c r="M6" i="3"/>
  <c r="N6" i="3"/>
  <c r="O6" i="3"/>
  <c r="P6" i="3"/>
  <c r="Q6" i="3"/>
  <c r="R6" i="3"/>
  <c r="S6" i="3"/>
  <c r="K7" i="3"/>
  <c r="B7" i="3" s="1"/>
  <c r="L7" i="3"/>
  <c r="C7" i="3" s="1"/>
  <c r="M7" i="3"/>
  <c r="N7" i="3"/>
  <c r="O7" i="3"/>
  <c r="P7" i="3"/>
  <c r="Q7" i="3"/>
  <c r="R7" i="3"/>
  <c r="S7" i="3"/>
  <c r="K8" i="3"/>
  <c r="B8" i="3" s="1"/>
  <c r="L8" i="3"/>
  <c r="C8" i="3" s="1"/>
  <c r="M8" i="3"/>
  <c r="N8" i="3"/>
  <c r="O8" i="3"/>
  <c r="P8" i="3"/>
  <c r="Q8" i="3"/>
  <c r="R8" i="3"/>
  <c r="S8" i="3"/>
  <c r="K9" i="3"/>
  <c r="B9" i="3" s="1"/>
  <c r="L9" i="3"/>
  <c r="C9" i="3" s="1"/>
  <c r="M9" i="3"/>
  <c r="N9" i="3"/>
  <c r="O9" i="3"/>
  <c r="P9" i="3"/>
  <c r="Q9" i="3"/>
  <c r="R9" i="3"/>
  <c r="S9" i="3"/>
  <c r="K10" i="3"/>
  <c r="B10" i="3" s="1"/>
  <c r="L10" i="3"/>
  <c r="C10" i="3" s="1"/>
  <c r="M10" i="3"/>
  <c r="N10" i="3"/>
  <c r="O10" i="3"/>
  <c r="P10" i="3"/>
  <c r="Q10" i="3"/>
  <c r="R10" i="3"/>
  <c r="S10" i="3"/>
  <c r="K11" i="3"/>
  <c r="B11" i="3" s="1"/>
  <c r="L11" i="3"/>
  <c r="C11" i="3" s="1"/>
  <c r="M11" i="3"/>
  <c r="N11" i="3"/>
  <c r="O11" i="3"/>
  <c r="P11" i="3"/>
  <c r="Q11" i="3"/>
  <c r="R11" i="3"/>
  <c r="S11" i="3"/>
  <c r="K12" i="3"/>
  <c r="B12" i="3" s="1"/>
  <c r="L12" i="3"/>
  <c r="C12" i="3" s="1"/>
  <c r="M12" i="3"/>
  <c r="N12" i="3"/>
  <c r="O12" i="3"/>
  <c r="P12" i="3"/>
  <c r="Q12" i="3"/>
  <c r="R12" i="3"/>
  <c r="S12" i="3"/>
  <c r="K13" i="3"/>
  <c r="B13" i="3" s="1"/>
  <c r="L13" i="3"/>
  <c r="C13" i="3" s="1"/>
  <c r="M13" i="3"/>
  <c r="N13" i="3"/>
  <c r="O13" i="3"/>
  <c r="P13" i="3"/>
  <c r="Q13" i="3"/>
  <c r="R13" i="3"/>
  <c r="S13" i="3"/>
  <c r="K14" i="3"/>
  <c r="B14" i="3" s="1"/>
  <c r="L14" i="3"/>
  <c r="C14" i="3" s="1"/>
  <c r="M14" i="3"/>
  <c r="N14" i="3"/>
  <c r="O14" i="3"/>
  <c r="P14" i="3"/>
  <c r="Q14" i="3"/>
  <c r="R14" i="3"/>
  <c r="S14" i="3"/>
  <c r="K15" i="3"/>
  <c r="B15" i="3" s="1"/>
  <c r="L15" i="3"/>
  <c r="C15" i="3" s="1"/>
  <c r="M15" i="3"/>
  <c r="N15" i="3"/>
  <c r="O15" i="3"/>
  <c r="P15" i="3"/>
  <c r="Q15" i="3"/>
  <c r="R15" i="3"/>
  <c r="S15" i="3"/>
  <c r="K16" i="3"/>
  <c r="B16" i="3" s="1"/>
  <c r="L16" i="3"/>
  <c r="C16" i="3" s="1"/>
  <c r="M16" i="3"/>
  <c r="N16" i="3"/>
  <c r="O16" i="3"/>
  <c r="P16" i="3"/>
  <c r="Q16" i="3"/>
  <c r="R16" i="3"/>
  <c r="S16" i="3"/>
  <c r="K17" i="3"/>
  <c r="B17" i="3" s="1"/>
  <c r="L17" i="3"/>
  <c r="C17" i="3" s="1"/>
  <c r="M17" i="3"/>
  <c r="N17" i="3"/>
  <c r="O17" i="3"/>
  <c r="P17" i="3"/>
  <c r="Q17" i="3"/>
  <c r="R17" i="3"/>
  <c r="S17" i="3"/>
  <c r="K18" i="3"/>
  <c r="B18" i="3" s="1"/>
  <c r="L18" i="3"/>
  <c r="C18" i="3" s="1"/>
  <c r="M18" i="3"/>
  <c r="N18" i="3"/>
  <c r="O18" i="3"/>
  <c r="P18" i="3"/>
  <c r="Q18" i="3"/>
  <c r="R18" i="3"/>
  <c r="S18" i="3"/>
  <c r="K19" i="3"/>
  <c r="B19" i="3" s="1"/>
  <c r="L19" i="3"/>
  <c r="C19" i="3" s="1"/>
  <c r="M19" i="3"/>
  <c r="N19" i="3"/>
  <c r="O19" i="3"/>
  <c r="P19" i="3"/>
  <c r="Q19" i="3"/>
  <c r="R19" i="3"/>
  <c r="S19" i="3"/>
  <c r="K20" i="3"/>
  <c r="B20" i="3" s="1"/>
  <c r="L20" i="3"/>
  <c r="C20" i="3" s="1"/>
  <c r="M20" i="3"/>
  <c r="N20" i="3"/>
  <c r="O20" i="3"/>
  <c r="P20" i="3"/>
  <c r="Q20" i="3"/>
  <c r="R20" i="3"/>
  <c r="S20" i="3"/>
  <c r="Q2" i="3"/>
  <c r="R2" i="3"/>
  <c r="S2" i="3"/>
  <c r="P2" i="3"/>
  <c r="O2" i="3"/>
  <c r="L2" i="3"/>
  <c r="C2" i="3" s="1"/>
  <c r="M2" i="3"/>
  <c r="N2" i="3"/>
  <c r="K2" i="3"/>
  <c r="B2" i="3" s="1"/>
  <c r="L2" i="2"/>
  <c r="C2" i="2" s="1"/>
  <c r="K2" i="2"/>
  <c r="B2" i="2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7" i="1"/>
  <c r="AM5" i="1"/>
  <c r="AN5" i="1"/>
  <c r="AO5" i="1"/>
  <c r="AP5" i="1"/>
  <c r="AQ5" i="1"/>
  <c r="AR5" i="1"/>
  <c r="AS5" i="1"/>
  <c r="AL5" i="1"/>
  <c r="AZ69" i="1"/>
  <c r="AY69" i="1"/>
  <c r="AY68" i="1"/>
  <c r="AZ65" i="1"/>
  <c r="AY65" i="1"/>
  <c r="AZ64" i="1"/>
  <c r="AY64" i="1"/>
  <c r="AZ63" i="1"/>
  <c r="AY63" i="1"/>
  <c r="AZ62" i="1"/>
  <c r="AY62" i="1"/>
  <c r="AZ61" i="1"/>
  <c r="AY61" i="1"/>
  <c r="AZ60" i="1"/>
  <c r="AY60" i="1"/>
  <c r="AZ59" i="1"/>
  <c r="AY59" i="1"/>
  <c r="AZ58" i="1"/>
  <c r="AY58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10" i="1"/>
  <c r="BN39" i="1"/>
  <c r="BN38" i="1"/>
  <c r="BN37" i="1"/>
  <c r="BN36" i="1"/>
  <c r="BN35" i="1"/>
  <c r="BN34" i="1"/>
  <c r="BN33" i="1"/>
  <c r="BN32" i="1"/>
  <c r="BN31" i="1"/>
  <c r="BN30" i="1"/>
  <c r="BK28" i="1"/>
  <c r="BL28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0" i="1"/>
  <c r="BK14" i="1"/>
  <c r="BK4" i="1"/>
  <c r="BG109" i="1"/>
  <c r="BG110" i="1"/>
  <c r="BG111" i="1"/>
  <c r="BG112" i="1"/>
  <c r="BG108" i="1"/>
  <c r="BG94" i="1"/>
  <c r="BG95" i="1"/>
  <c r="BG96" i="1"/>
  <c r="BG97" i="1"/>
  <c r="BG98" i="1"/>
  <c r="BG99" i="1"/>
  <c r="BG100" i="1"/>
  <c r="BG101" i="1"/>
  <c r="BG102" i="1"/>
  <c r="BG93" i="1"/>
  <c r="BG84" i="1"/>
  <c r="BG85" i="1"/>
  <c r="BG86" i="1"/>
  <c r="BG87" i="1"/>
  <c r="BG88" i="1"/>
  <c r="BG89" i="1"/>
  <c r="BG90" i="1"/>
  <c r="BG91" i="1"/>
  <c r="BG92" i="1"/>
  <c r="BG83" i="1"/>
  <c r="BG46" i="1"/>
  <c r="BG47" i="1"/>
  <c r="BG45" i="1"/>
  <c r="BG41" i="1"/>
  <c r="BG42" i="1"/>
  <c r="BG43" i="1"/>
  <c r="BG44" i="1"/>
  <c r="BG40" i="1"/>
  <c r="BG39" i="1"/>
  <c r="BG38" i="1"/>
  <c r="BG36" i="1"/>
  <c r="BG37" i="1"/>
  <c r="BG35" i="1"/>
  <c r="BG31" i="1"/>
  <c r="BG32" i="1"/>
  <c r="BG33" i="1"/>
  <c r="BG34" i="1"/>
  <c r="BG30" i="1"/>
  <c r="BG29" i="1"/>
  <c r="BG28" i="1"/>
  <c r="BG19" i="1"/>
  <c r="BG20" i="1"/>
  <c r="BG21" i="1"/>
  <c r="BG22" i="1"/>
  <c r="BG23" i="1"/>
  <c r="BG24" i="1"/>
  <c r="BG25" i="1"/>
  <c r="BG26" i="1"/>
  <c r="BG27" i="1"/>
  <c r="BG18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3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10" i="1"/>
  <c r="BA57" i="1"/>
  <c r="AZ57" i="1"/>
  <c r="AY57" i="1"/>
  <c r="BC15" i="1"/>
  <c r="BB15" i="1"/>
  <c r="BA14" i="1"/>
  <c r="AZ13" i="1"/>
  <c r="AY13" i="1"/>
  <c r="BC12" i="1"/>
  <c r="BC11" i="1"/>
  <c r="BB11" i="1"/>
  <c r="BA11" i="1"/>
  <c r="AZ11" i="1"/>
  <c r="AY11" i="1"/>
  <c r="BB10" i="1"/>
  <c r="BC9" i="1"/>
  <c r="BB9" i="1"/>
  <c r="BA9" i="1"/>
  <c r="AZ9" i="1"/>
  <c r="BB8" i="1"/>
  <c r="BA8" i="1"/>
  <c r="AZ8" i="1"/>
  <c r="AY8" i="1"/>
  <c r="AZ7" i="1"/>
  <c r="AY7" i="1"/>
  <c r="BA6" i="1"/>
  <c r="AZ6" i="1"/>
  <c r="AY6" i="1"/>
  <c r="BB5" i="1"/>
  <c r="BA5" i="1"/>
  <c r="AY5" i="1"/>
  <c r="BC4" i="1"/>
  <c r="BB4" i="1"/>
  <c r="BA4" i="1"/>
  <c r="AZ5" i="1"/>
  <c r="BB7" i="1"/>
  <c r="BC10" i="1"/>
  <c r="AZ14" i="1"/>
  <c r="AZ4" i="1"/>
  <c r="AY4" i="1"/>
  <c r="F9" i="2"/>
  <c r="D3" i="2"/>
  <c r="D19" i="2"/>
  <c r="D13" i="2"/>
  <c r="D8" i="2"/>
  <c r="D7" i="2"/>
  <c r="D11" i="2"/>
  <c r="F19" i="2"/>
  <c r="F5" i="2"/>
  <c r="D4" i="2"/>
  <c r="F17" i="2"/>
  <c r="D2" i="2"/>
  <c r="F10" i="3" l="1"/>
  <c r="G10" i="3" s="1" a="1"/>
  <c r="G10" i="3" s="1"/>
  <c r="F12" i="3"/>
  <c r="G12" i="3" s="1" a="1"/>
  <c r="G12" i="3" s="1"/>
  <c r="F16" i="3"/>
  <c r="G16" i="3" s="1" a="1"/>
  <c r="G16" i="3" s="1"/>
  <c r="F11" i="3"/>
  <c r="G11" i="3" s="1" a="1"/>
  <c r="G11" i="3" s="1"/>
  <c r="F18" i="3"/>
  <c r="G18" i="3" s="1" a="1"/>
  <c r="G18" i="3" s="1"/>
  <c r="F4" i="3"/>
  <c r="G4" i="3" s="1" a="1"/>
  <c r="G4" i="3" s="1"/>
  <c r="F20" i="3"/>
  <c r="G20" i="3" s="1" a="1"/>
  <c r="G20" i="3" s="1"/>
  <c r="F19" i="3"/>
  <c r="G19" i="3" s="1" a="1"/>
  <c r="G19" i="3" s="1"/>
  <c r="F6" i="3"/>
  <c r="G6" i="3" s="1" a="1"/>
  <c r="G6" i="3" s="1"/>
  <c r="F9" i="3"/>
  <c r="G9" i="3" s="1" a="1"/>
  <c r="G9" i="3" s="1"/>
  <c r="F5" i="3"/>
  <c r="G5" i="3" s="1" a="1"/>
  <c r="G5" i="3" s="1"/>
  <c r="F21" i="3"/>
  <c r="G21" i="3" s="1" a="1"/>
  <c r="G21" i="3" s="1"/>
  <c r="F13" i="3"/>
  <c r="G13" i="3" s="1" a="1"/>
  <c r="G13" i="3" s="1"/>
  <c r="F14" i="3"/>
  <c r="G14" i="3" s="1" a="1"/>
  <c r="G14" i="3" s="1"/>
  <c r="F8" i="3"/>
  <c r="G8" i="3" s="1" a="1"/>
  <c r="G8" i="3" s="1"/>
  <c r="F15" i="3"/>
  <c r="G15" i="3" s="1" a="1"/>
  <c r="G15" i="3" s="1"/>
  <c r="F2" i="3"/>
  <c r="G2" i="3" s="1" a="1"/>
  <c r="G2" i="3" s="1"/>
  <c r="F7" i="3"/>
  <c r="G7" i="3" s="1" a="1"/>
  <c r="G7" i="3" s="1"/>
  <c r="F3" i="3"/>
  <c r="G3" i="3" s="1" a="1"/>
  <c r="G3" i="3" s="1"/>
  <c r="F17" i="3"/>
  <c r="G17" i="3" s="1" a="1"/>
  <c r="G17" i="3" s="1"/>
  <c r="D21" i="3" a="1"/>
  <c r="D21" i="3" s="1"/>
  <c r="E21" i="3" s="1"/>
  <c r="J21" i="4"/>
  <c r="U21" i="4" s="1"/>
  <c r="C21" i="6"/>
  <c r="B21" i="4"/>
  <c r="F95" i="5"/>
  <c r="F63" i="5"/>
  <c r="F47" i="5"/>
  <c r="H93" i="5"/>
  <c r="Q93" i="5"/>
  <c r="Q85" i="5"/>
  <c r="O93" i="5"/>
  <c r="O85" i="5"/>
  <c r="Q77" i="5"/>
  <c r="S97" i="5"/>
  <c r="J93" i="5"/>
  <c r="S89" i="5"/>
  <c r="J85" i="5"/>
  <c r="S81" i="5"/>
  <c r="J77" i="5"/>
  <c r="S73" i="5"/>
  <c r="J69" i="5"/>
  <c r="J61" i="5"/>
  <c r="J53" i="5"/>
  <c r="H85" i="5"/>
  <c r="Q69" i="5"/>
  <c r="Q61" i="5"/>
  <c r="O77" i="5"/>
  <c r="O69" i="5"/>
  <c r="L93" i="5"/>
  <c r="L85" i="5"/>
  <c r="L77" i="5"/>
  <c r="L69" i="5"/>
  <c r="H94" i="5"/>
  <c r="H86" i="5"/>
  <c r="H78" i="5"/>
  <c r="H70" i="5"/>
  <c r="H54" i="5"/>
  <c r="Q53" i="5"/>
  <c r="C96" i="5"/>
  <c r="C88" i="5"/>
  <c r="T88" i="5" s="1"/>
  <c r="U88" i="5" s="1" a="1"/>
  <c r="U88" i="5" s="1"/>
  <c r="C80" i="5"/>
  <c r="T80" i="5" s="1"/>
  <c r="U80" i="5" s="1" a="1"/>
  <c r="U80" i="5" s="1"/>
  <c r="C72" i="5"/>
  <c r="T72" i="5" s="1"/>
  <c r="U72" i="5" s="1" a="1"/>
  <c r="U72" i="5" s="1"/>
  <c r="C64" i="5"/>
  <c r="T64" i="5" s="1"/>
  <c r="U64" i="5" s="1" a="1"/>
  <c r="U64" i="5" s="1"/>
  <c r="C56" i="5"/>
  <c r="T56" i="5" s="1"/>
  <c r="U56" i="5" s="1" a="1"/>
  <c r="U56" i="5" s="1"/>
  <c r="C99" i="5"/>
  <c r="C91" i="5"/>
  <c r="T91" i="5" s="1"/>
  <c r="U91" i="5" s="1" a="1"/>
  <c r="U91" i="5" s="1"/>
  <c r="O61" i="5"/>
  <c r="L61" i="5"/>
  <c r="K93" i="5"/>
  <c r="J94" i="5"/>
  <c r="G93" i="5"/>
  <c r="G85" i="5"/>
  <c r="G77" i="5"/>
  <c r="G69" i="5"/>
  <c r="S93" i="5"/>
  <c r="S85" i="5"/>
  <c r="S77" i="5"/>
  <c r="S69" i="5"/>
  <c r="J86" i="5"/>
  <c r="J78" i="5"/>
  <c r="J70" i="5"/>
  <c r="J62" i="5"/>
  <c r="J54" i="5"/>
  <c r="R93" i="5"/>
  <c r="R85" i="5"/>
  <c r="R77" i="5"/>
  <c r="R69" i="5"/>
  <c r="C48" i="5"/>
  <c r="J45" i="5"/>
  <c r="H77" i="5"/>
  <c r="N98" i="5"/>
  <c r="H69" i="5"/>
  <c r="P97" i="5"/>
  <c r="P89" i="5"/>
  <c r="L53" i="5"/>
  <c r="K85" i="5"/>
  <c r="K77" i="5"/>
  <c r="K69" i="5"/>
  <c r="K61" i="5"/>
  <c r="K53" i="5"/>
  <c r="K45" i="5"/>
  <c r="S61" i="5"/>
  <c r="L45" i="5"/>
  <c r="F79" i="5"/>
  <c r="S65" i="5"/>
  <c r="S57" i="5"/>
  <c r="S49" i="5"/>
  <c r="S41" i="5"/>
  <c r="C40" i="5"/>
  <c r="T40" i="5" s="1"/>
  <c r="U40" i="5" s="1" a="1"/>
  <c r="U40" i="5" s="1"/>
  <c r="H61" i="5"/>
  <c r="H53" i="5"/>
  <c r="P81" i="5"/>
  <c r="C93" i="5"/>
  <c r="C85" i="5"/>
  <c r="C77" i="5"/>
  <c r="C69" i="5"/>
  <c r="T69" i="5" s="1"/>
  <c r="U69" i="5" s="1" a="1"/>
  <c r="U69" i="5" s="1"/>
  <c r="C61" i="5"/>
  <c r="C53" i="5"/>
  <c r="C45" i="5"/>
  <c r="Q99" i="5"/>
  <c r="Q91" i="5"/>
  <c r="Q83" i="5"/>
  <c r="Q75" i="5"/>
  <c r="Q67" i="5"/>
  <c r="Q59" i="5"/>
  <c r="Q51" i="5"/>
  <c r="Q43" i="5"/>
  <c r="G87" i="5"/>
  <c r="I86" i="5"/>
  <c r="P83" i="5"/>
  <c r="G71" i="5"/>
  <c r="I70" i="5"/>
  <c r="G55" i="5"/>
  <c r="I54" i="5"/>
  <c r="G39" i="5"/>
  <c r="I38" i="5"/>
  <c r="H62" i="5"/>
  <c r="I85" i="5"/>
  <c r="I77" i="5"/>
  <c r="K99" i="5"/>
  <c r="K91" i="5"/>
  <c r="K83" i="5"/>
  <c r="K75" i="5"/>
  <c r="K67" i="5"/>
  <c r="G61" i="5"/>
  <c r="K59" i="5"/>
  <c r="H59" i="5"/>
  <c r="O100" i="5"/>
  <c r="C97" i="5"/>
  <c r="T97" i="5" s="1"/>
  <c r="U97" i="5" s="1" a="1"/>
  <c r="U97" i="5" s="1"/>
  <c r="O92" i="5"/>
  <c r="H87" i="5"/>
  <c r="O84" i="5"/>
  <c r="C81" i="5"/>
  <c r="T81" i="5" s="1"/>
  <c r="U81" i="5" s="1" a="1"/>
  <c r="U81" i="5" s="1"/>
  <c r="O76" i="5"/>
  <c r="H71" i="5"/>
  <c r="C65" i="5"/>
  <c r="T65" i="5" s="1"/>
  <c r="U65" i="5" s="1" a="1"/>
  <c r="U65" i="5" s="1"/>
  <c r="H55" i="5"/>
  <c r="C49" i="5"/>
  <c r="T49" i="5" s="1"/>
  <c r="U49" i="5" s="1" a="1"/>
  <c r="U49" i="5" s="1"/>
  <c r="J46" i="5"/>
  <c r="H39" i="5"/>
  <c r="J38" i="5"/>
  <c r="H46" i="5"/>
  <c r="I93" i="5"/>
  <c r="I69" i="5"/>
  <c r="I61" i="5"/>
  <c r="I53" i="5"/>
  <c r="H45" i="5"/>
  <c r="I100" i="5"/>
  <c r="I92" i="5"/>
  <c r="I84" i="5"/>
  <c r="I76" i="5"/>
  <c r="I68" i="5"/>
  <c r="I60" i="5"/>
  <c r="N58" i="5"/>
  <c r="G53" i="5"/>
  <c r="I52" i="5"/>
  <c r="K51" i="5"/>
  <c r="G45" i="5"/>
  <c r="I44" i="5"/>
  <c r="K43" i="5"/>
  <c r="F101" i="5"/>
  <c r="C101" i="5"/>
  <c r="T101" i="5" s="1"/>
  <c r="U101" i="5" s="1" a="1"/>
  <c r="U101" i="5" s="1"/>
  <c r="Q70" i="5"/>
  <c r="S53" i="5"/>
  <c r="S45" i="5"/>
  <c r="D79" i="5"/>
  <c r="M79" i="5" s="1"/>
  <c r="I97" i="5"/>
  <c r="P94" i="5"/>
  <c r="C92" i="5"/>
  <c r="T92" i="5" s="1"/>
  <c r="U92" i="5" s="1" a="1"/>
  <c r="U92" i="5" s="1"/>
  <c r="I89" i="5"/>
  <c r="N87" i="5"/>
  <c r="P86" i="5"/>
  <c r="I81" i="5"/>
  <c r="P78" i="5"/>
  <c r="I73" i="5"/>
  <c r="N71" i="5"/>
  <c r="P70" i="5"/>
  <c r="I65" i="5"/>
  <c r="P62" i="5"/>
  <c r="R61" i="5"/>
  <c r="I57" i="5"/>
  <c r="N55" i="5"/>
  <c r="P54" i="5"/>
  <c r="R53" i="5"/>
  <c r="P46" i="5"/>
  <c r="R45" i="5"/>
  <c r="P38" i="5"/>
  <c r="D47" i="5"/>
  <c r="M47" i="5" s="1"/>
  <c r="S100" i="5"/>
  <c r="S84" i="5"/>
  <c r="C83" i="5"/>
  <c r="T83" i="5" s="1"/>
  <c r="U83" i="5" s="1" a="1"/>
  <c r="U83" i="5" s="1"/>
  <c r="C75" i="5"/>
  <c r="T75" i="5" s="1"/>
  <c r="U75" i="5" s="1" a="1"/>
  <c r="U75" i="5" s="1"/>
  <c r="L71" i="5"/>
  <c r="S68" i="5"/>
  <c r="C67" i="5"/>
  <c r="T67" i="5" s="1"/>
  <c r="U67" i="5" s="1" a="1"/>
  <c r="U67" i="5" s="1"/>
  <c r="S60" i="5"/>
  <c r="C59" i="5"/>
  <c r="T59" i="5" s="1"/>
  <c r="U59" i="5" s="1" a="1"/>
  <c r="U59" i="5" s="1"/>
  <c r="S52" i="5"/>
  <c r="C51" i="5"/>
  <c r="T51" i="5" s="1"/>
  <c r="U51" i="5" s="1" a="1"/>
  <c r="U51" i="5" s="1"/>
  <c r="Q45" i="5"/>
  <c r="C43" i="5"/>
  <c r="T43" i="5" s="1"/>
  <c r="U43" i="5" s="1" a="1"/>
  <c r="U43" i="5" s="1"/>
  <c r="D101" i="5"/>
  <c r="R101" i="5" s="1"/>
  <c r="L94" i="5"/>
  <c r="L86" i="5"/>
  <c r="L78" i="5"/>
  <c r="L70" i="5"/>
  <c r="L62" i="5"/>
  <c r="L54" i="5"/>
  <c r="O53" i="5"/>
  <c r="O45" i="5"/>
  <c r="L100" i="5"/>
  <c r="O99" i="5"/>
  <c r="Q98" i="5"/>
  <c r="L92" i="5"/>
  <c r="O91" i="5"/>
  <c r="Q90" i="5"/>
  <c r="L84" i="5"/>
  <c r="O83" i="5"/>
  <c r="Q82" i="5"/>
  <c r="L76" i="5"/>
  <c r="O75" i="5"/>
  <c r="Q74" i="5"/>
  <c r="L68" i="5"/>
  <c r="O67" i="5"/>
  <c r="Q66" i="5"/>
  <c r="L60" i="5"/>
  <c r="O59" i="5"/>
  <c r="Q58" i="5"/>
  <c r="L52" i="5"/>
  <c r="O51" i="5"/>
  <c r="Q50" i="5"/>
  <c r="L44" i="5"/>
  <c r="O43" i="5"/>
  <c r="Q42" i="5"/>
  <c r="H38" i="5"/>
  <c r="N99" i="5"/>
  <c r="P98" i="5"/>
  <c r="K92" i="5"/>
  <c r="N91" i="5"/>
  <c r="P90" i="5"/>
  <c r="N83" i="5"/>
  <c r="P82" i="5"/>
  <c r="K76" i="5"/>
  <c r="N75" i="5"/>
  <c r="P74" i="5"/>
  <c r="N67" i="5"/>
  <c r="P66" i="5"/>
  <c r="K60" i="5"/>
  <c r="N59" i="5"/>
  <c r="P58" i="5"/>
  <c r="G54" i="5"/>
  <c r="N51" i="5"/>
  <c r="P50" i="5"/>
  <c r="G46" i="5"/>
  <c r="I45" i="5"/>
  <c r="K44" i="5"/>
  <c r="N43" i="5"/>
  <c r="P42" i="5"/>
  <c r="G38" i="5"/>
  <c r="E66" i="5"/>
  <c r="F66" i="5" s="1"/>
  <c r="J100" i="5"/>
  <c r="L99" i="5"/>
  <c r="O98" i="5"/>
  <c r="J92" i="5"/>
  <c r="L91" i="5"/>
  <c r="O90" i="5"/>
  <c r="J84" i="5"/>
  <c r="L83" i="5"/>
  <c r="O82" i="5"/>
  <c r="J76" i="5"/>
  <c r="L75" i="5"/>
  <c r="O74" i="5"/>
  <c r="J68" i="5"/>
  <c r="L67" i="5"/>
  <c r="O66" i="5"/>
  <c r="J60" i="5"/>
  <c r="L59" i="5"/>
  <c r="O58" i="5"/>
  <c r="J52" i="5"/>
  <c r="L51" i="5"/>
  <c r="O50" i="5"/>
  <c r="J44" i="5"/>
  <c r="L43" i="5"/>
  <c r="O42" i="5"/>
  <c r="D63" i="5"/>
  <c r="M63" i="5" s="1"/>
  <c r="N90" i="5"/>
  <c r="N82" i="5"/>
  <c r="N74" i="5"/>
  <c r="N66" i="5"/>
  <c r="N50" i="5"/>
  <c r="N42" i="5"/>
  <c r="H100" i="5"/>
  <c r="H92" i="5"/>
  <c r="H84" i="5"/>
  <c r="H76" i="5"/>
  <c r="H68" i="5"/>
  <c r="H60" i="5"/>
  <c r="H52" i="5"/>
  <c r="H44" i="5"/>
  <c r="G100" i="5"/>
  <c r="I99" i="5"/>
  <c r="K98" i="5"/>
  <c r="G92" i="5"/>
  <c r="I91" i="5"/>
  <c r="K90" i="5"/>
  <c r="G84" i="5"/>
  <c r="I83" i="5"/>
  <c r="K82" i="5"/>
  <c r="G76" i="5"/>
  <c r="I75" i="5"/>
  <c r="K74" i="5"/>
  <c r="G68" i="5"/>
  <c r="I67" i="5"/>
  <c r="K66" i="5"/>
  <c r="G60" i="5"/>
  <c r="I59" i="5"/>
  <c r="K58" i="5"/>
  <c r="G52" i="5"/>
  <c r="I51" i="5"/>
  <c r="K50" i="5"/>
  <c r="G44" i="5"/>
  <c r="E50" i="5"/>
  <c r="F50" i="5" s="1"/>
  <c r="E98" i="5"/>
  <c r="F98" i="5" s="1"/>
  <c r="G98" i="5"/>
  <c r="G90" i="5"/>
  <c r="G82" i="5"/>
  <c r="C76" i="5"/>
  <c r="G74" i="5"/>
  <c r="G66" i="5"/>
  <c r="C60" i="5"/>
  <c r="G58" i="5"/>
  <c r="G50" i="5"/>
  <c r="I49" i="5"/>
  <c r="C44" i="5"/>
  <c r="G42" i="5"/>
  <c r="D95" i="5"/>
  <c r="M95" i="5" s="1"/>
  <c r="Q100" i="5"/>
  <c r="S99" i="5"/>
  <c r="C98" i="5"/>
  <c r="Q92" i="5"/>
  <c r="S91" i="5"/>
  <c r="C90" i="5"/>
  <c r="Q84" i="5"/>
  <c r="S83" i="5"/>
  <c r="C82" i="5"/>
  <c r="T82" i="5" s="1"/>
  <c r="U82" i="5" s="1" a="1"/>
  <c r="U82" i="5" s="1"/>
  <c r="Q76" i="5"/>
  <c r="S75" i="5"/>
  <c r="C74" i="5"/>
  <c r="T74" i="5" s="1"/>
  <c r="U74" i="5" s="1" a="1"/>
  <c r="U74" i="5" s="1"/>
  <c r="Q68" i="5"/>
  <c r="S67" i="5"/>
  <c r="C66" i="5"/>
  <c r="T66" i="5" s="1"/>
  <c r="U66" i="5" s="1" a="1"/>
  <c r="U66" i="5" s="1"/>
  <c r="Q60" i="5"/>
  <c r="S59" i="5"/>
  <c r="C58" i="5"/>
  <c r="T58" i="5" s="1"/>
  <c r="U58" i="5" s="1" a="1"/>
  <c r="U58" i="5" s="1"/>
  <c r="Q52" i="5"/>
  <c r="S51" i="5"/>
  <c r="C50" i="5"/>
  <c r="L46" i="5"/>
  <c r="Q44" i="5"/>
  <c r="S43" i="5"/>
  <c r="C42" i="5"/>
  <c r="T42" i="5" s="1"/>
  <c r="U42" i="5" s="1" a="1"/>
  <c r="U42" i="5" s="1"/>
  <c r="L38" i="5"/>
  <c r="E82" i="5"/>
  <c r="F82" i="5" s="1"/>
  <c r="S98" i="5"/>
  <c r="S90" i="5"/>
  <c r="C89" i="5"/>
  <c r="S82" i="5"/>
  <c r="S74" i="5"/>
  <c r="C73" i="5"/>
  <c r="O68" i="5"/>
  <c r="S66" i="5"/>
  <c r="O60" i="5"/>
  <c r="S58" i="5"/>
  <c r="C57" i="5"/>
  <c r="T57" i="5" s="1"/>
  <c r="U57" i="5" s="1" a="1"/>
  <c r="U57" i="5" s="1"/>
  <c r="O52" i="5"/>
  <c r="S50" i="5"/>
  <c r="O44" i="5"/>
  <c r="S42" i="5"/>
  <c r="C41" i="5"/>
  <c r="T41" i="5" s="1"/>
  <c r="U41" i="5" s="1" a="1"/>
  <c r="U41" i="5" s="1"/>
  <c r="N100" i="5"/>
  <c r="R98" i="5"/>
  <c r="N92" i="5"/>
  <c r="P91" i="5"/>
  <c r="R90" i="5"/>
  <c r="N84" i="5"/>
  <c r="R82" i="5"/>
  <c r="N76" i="5"/>
  <c r="P75" i="5"/>
  <c r="R74" i="5"/>
  <c r="N68" i="5"/>
  <c r="R66" i="5"/>
  <c r="N60" i="5"/>
  <c r="P59" i="5"/>
  <c r="R58" i="5"/>
  <c r="N52" i="5"/>
  <c r="R50" i="5"/>
  <c r="N44" i="5"/>
  <c r="P43" i="5"/>
  <c r="R42" i="5"/>
  <c r="M39" i="5"/>
  <c r="L39" i="5"/>
  <c r="I94" i="5"/>
  <c r="R57" i="5"/>
  <c r="R97" i="5"/>
  <c r="G94" i="5"/>
  <c r="G86" i="5"/>
  <c r="R81" i="5"/>
  <c r="G78" i="5"/>
  <c r="G70" i="5"/>
  <c r="R65" i="5"/>
  <c r="G62" i="5"/>
  <c r="R49" i="5"/>
  <c r="N93" i="5"/>
  <c r="J81" i="5"/>
  <c r="Q97" i="5"/>
  <c r="S96" i="5"/>
  <c r="C95" i="5"/>
  <c r="Q89" i="5"/>
  <c r="S88" i="5"/>
  <c r="C87" i="5"/>
  <c r="Q81" i="5"/>
  <c r="S80" i="5"/>
  <c r="C79" i="5"/>
  <c r="Q73" i="5"/>
  <c r="S72" i="5"/>
  <c r="C71" i="5"/>
  <c r="T71" i="5" s="1"/>
  <c r="U71" i="5" s="1" a="1"/>
  <c r="U71" i="5" s="1"/>
  <c r="Q65" i="5"/>
  <c r="S64" i="5"/>
  <c r="C63" i="5"/>
  <c r="Q57" i="5"/>
  <c r="S56" i="5"/>
  <c r="C55" i="5"/>
  <c r="T55" i="5" s="1"/>
  <c r="U55" i="5" s="1" a="1"/>
  <c r="U55" i="5" s="1"/>
  <c r="Q49" i="5"/>
  <c r="S48" i="5"/>
  <c r="C47" i="5"/>
  <c r="M46" i="5"/>
  <c r="I46" i="5"/>
  <c r="Q41" i="5"/>
  <c r="S40" i="5"/>
  <c r="C39" i="5"/>
  <c r="T39" i="5" s="1"/>
  <c r="U39" i="5" s="1" a="1"/>
  <c r="U39" i="5" s="1"/>
  <c r="M38" i="5"/>
  <c r="Q38" i="5"/>
  <c r="S92" i="5"/>
  <c r="O80" i="5"/>
  <c r="K68" i="5"/>
  <c r="G56" i="5"/>
  <c r="R80" i="5"/>
  <c r="P73" i="5"/>
  <c r="R72" i="5"/>
  <c r="P65" i="5"/>
  <c r="R64" i="5"/>
  <c r="P57" i="5"/>
  <c r="R56" i="5"/>
  <c r="P49" i="5"/>
  <c r="R48" i="5"/>
  <c r="P41" i="5"/>
  <c r="R40" i="5"/>
  <c r="P67" i="5"/>
  <c r="L55" i="5"/>
  <c r="R96" i="5"/>
  <c r="R88" i="5"/>
  <c r="J99" i="5"/>
  <c r="L98" i="5"/>
  <c r="O97" i="5"/>
  <c r="Q96" i="5"/>
  <c r="C94" i="5"/>
  <c r="J91" i="5"/>
  <c r="L90" i="5"/>
  <c r="O89" i="5"/>
  <c r="Q88" i="5"/>
  <c r="S87" i="5"/>
  <c r="C86" i="5"/>
  <c r="T86" i="5" s="1"/>
  <c r="U86" i="5" s="1" a="1"/>
  <c r="U86" i="5" s="1"/>
  <c r="J83" i="5"/>
  <c r="L82" i="5"/>
  <c r="O81" i="5"/>
  <c r="Q80" i="5"/>
  <c r="C78" i="5"/>
  <c r="J75" i="5"/>
  <c r="L74" i="5"/>
  <c r="O73" i="5"/>
  <c r="Q72" i="5"/>
  <c r="S71" i="5"/>
  <c r="C70" i="5"/>
  <c r="J67" i="5"/>
  <c r="L66" i="5"/>
  <c r="O65" i="5"/>
  <c r="Q64" i="5"/>
  <c r="C62" i="5"/>
  <c r="J59" i="5"/>
  <c r="L58" i="5"/>
  <c r="O57" i="5"/>
  <c r="Q56" i="5"/>
  <c r="S55" i="5"/>
  <c r="C54" i="5"/>
  <c r="T54" i="5" s="1"/>
  <c r="U54" i="5" s="1" a="1"/>
  <c r="U54" i="5" s="1"/>
  <c r="J51" i="5"/>
  <c r="L50" i="5"/>
  <c r="O49" i="5"/>
  <c r="Q48" i="5"/>
  <c r="C46" i="5"/>
  <c r="T46" i="5" s="1"/>
  <c r="U46" i="5" s="1" a="1"/>
  <c r="U46" i="5" s="1"/>
  <c r="N45" i="5"/>
  <c r="M45" i="5"/>
  <c r="J43" i="5"/>
  <c r="L42" i="5"/>
  <c r="O41" i="5"/>
  <c r="Q40" i="5"/>
  <c r="S39" i="5"/>
  <c r="C38" i="5"/>
  <c r="T38" i="5" s="1"/>
  <c r="U38" i="5" s="1" a="1"/>
  <c r="U38" i="5" s="1"/>
  <c r="H91" i="5"/>
  <c r="Q54" i="5"/>
  <c r="N97" i="5"/>
  <c r="N89" i="5"/>
  <c r="P88" i="5"/>
  <c r="R87" i="5"/>
  <c r="N81" i="5"/>
  <c r="P80" i="5"/>
  <c r="N73" i="5"/>
  <c r="P72" i="5"/>
  <c r="R71" i="5"/>
  <c r="N65" i="5"/>
  <c r="P64" i="5"/>
  <c r="N57" i="5"/>
  <c r="P56" i="5"/>
  <c r="R55" i="5"/>
  <c r="N49" i="5"/>
  <c r="P48" i="5"/>
  <c r="I43" i="5"/>
  <c r="K42" i="5"/>
  <c r="N41" i="5"/>
  <c r="P40" i="5"/>
  <c r="R39" i="5"/>
  <c r="I78" i="5"/>
  <c r="P96" i="5"/>
  <c r="H99" i="5"/>
  <c r="J98" i="5"/>
  <c r="L97" i="5"/>
  <c r="S94" i="5"/>
  <c r="J90" i="5"/>
  <c r="L89" i="5"/>
  <c r="O88" i="5"/>
  <c r="Q87" i="5"/>
  <c r="S86" i="5"/>
  <c r="H83" i="5"/>
  <c r="J82" i="5"/>
  <c r="L81" i="5"/>
  <c r="S78" i="5"/>
  <c r="J74" i="5"/>
  <c r="L73" i="5"/>
  <c r="O72" i="5"/>
  <c r="Q71" i="5"/>
  <c r="S70" i="5"/>
  <c r="H67" i="5"/>
  <c r="J66" i="5"/>
  <c r="L65" i="5"/>
  <c r="S62" i="5"/>
  <c r="J58" i="5"/>
  <c r="L57" i="5"/>
  <c r="O56" i="5"/>
  <c r="Q55" i="5"/>
  <c r="S54" i="5"/>
  <c r="H51" i="5"/>
  <c r="J50" i="5"/>
  <c r="L49" i="5"/>
  <c r="S46" i="5"/>
  <c r="J42" i="5"/>
  <c r="L41" i="5"/>
  <c r="O40" i="5"/>
  <c r="Q39" i="5"/>
  <c r="S38" i="5"/>
  <c r="R89" i="5"/>
  <c r="N77" i="5"/>
  <c r="J65" i="5"/>
  <c r="K52" i="5"/>
  <c r="G99" i="5"/>
  <c r="I98" i="5"/>
  <c r="K97" i="5"/>
  <c r="N96" i="5"/>
  <c r="R94" i="5"/>
  <c r="G91" i="5"/>
  <c r="I90" i="5"/>
  <c r="K89" i="5"/>
  <c r="N88" i="5"/>
  <c r="P87" i="5"/>
  <c r="R86" i="5"/>
  <c r="G83" i="5"/>
  <c r="I82" i="5"/>
  <c r="K81" i="5"/>
  <c r="N80" i="5"/>
  <c r="R78" i="5"/>
  <c r="G75" i="5"/>
  <c r="I74" i="5"/>
  <c r="K73" i="5"/>
  <c r="N72" i="5"/>
  <c r="P71" i="5"/>
  <c r="R70" i="5"/>
  <c r="G67" i="5"/>
  <c r="I66" i="5"/>
  <c r="K65" i="5"/>
  <c r="N64" i="5"/>
  <c r="R62" i="5"/>
  <c r="G59" i="5"/>
  <c r="I58" i="5"/>
  <c r="K57" i="5"/>
  <c r="N56" i="5"/>
  <c r="P55" i="5"/>
  <c r="R54" i="5"/>
  <c r="G51" i="5"/>
  <c r="I50" i="5"/>
  <c r="K49" i="5"/>
  <c r="N48" i="5"/>
  <c r="R46" i="5"/>
  <c r="G43" i="5"/>
  <c r="I42" i="5"/>
  <c r="K41" i="5"/>
  <c r="N40" i="5"/>
  <c r="P39" i="5"/>
  <c r="R38" i="5"/>
  <c r="S76" i="5"/>
  <c r="O64" i="5"/>
  <c r="C100" i="5"/>
  <c r="T100" i="5" s="1"/>
  <c r="U100" i="5" s="1" a="1"/>
  <c r="U100" i="5" s="1"/>
  <c r="H98" i="5"/>
  <c r="L96" i="5"/>
  <c r="Q94" i="5"/>
  <c r="H90" i="5"/>
  <c r="J89" i="5"/>
  <c r="L88" i="5"/>
  <c r="O87" i="5"/>
  <c r="C84" i="5"/>
  <c r="T84" i="5" s="1"/>
  <c r="U84" i="5" s="1" a="1"/>
  <c r="U84" i="5" s="1"/>
  <c r="H82" i="5"/>
  <c r="L80" i="5"/>
  <c r="Q78" i="5"/>
  <c r="H74" i="5"/>
  <c r="J73" i="5"/>
  <c r="L72" i="5"/>
  <c r="O71" i="5"/>
  <c r="C68" i="5"/>
  <c r="H66" i="5"/>
  <c r="L64" i="5"/>
  <c r="Q62" i="5"/>
  <c r="H58" i="5"/>
  <c r="J57" i="5"/>
  <c r="L56" i="5"/>
  <c r="O55" i="5"/>
  <c r="C52" i="5"/>
  <c r="P51" i="5"/>
  <c r="M51" i="5"/>
  <c r="H50" i="5"/>
  <c r="L48" i="5"/>
  <c r="Q46" i="5"/>
  <c r="M43" i="5"/>
  <c r="H43" i="5"/>
  <c r="H42" i="5"/>
  <c r="J41" i="5"/>
  <c r="L40" i="5"/>
  <c r="O39" i="5"/>
  <c r="K100" i="5"/>
  <c r="G88" i="5"/>
  <c r="J49" i="5"/>
  <c r="K72" i="5"/>
  <c r="K56" i="5"/>
  <c r="K48" i="5"/>
  <c r="I41" i="5"/>
  <c r="K40" i="5"/>
  <c r="N39" i="5"/>
  <c r="P99" i="5"/>
  <c r="L87" i="5"/>
  <c r="H75" i="5"/>
  <c r="O48" i="5"/>
  <c r="K96" i="5"/>
  <c r="K88" i="5"/>
  <c r="K80" i="5"/>
  <c r="H97" i="5"/>
  <c r="J96" i="5"/>
  <c r="H89" i="5"/>
  <c r="J88" i="5"/>
  <c r="O86" i="5"/>
  <c r="H81" i="5"/>
  <c r="J80" i="5"/>
  <c r="O78" i="5"/>
  <c r="H73" i="5"/>
  <c r="J72" i="5"/>
  <c r="O70" i="5"/>
  <c r="H65" i="5"/>
  <c r="J64" i="5"/>
  <c r="O62" i="5"/>
  <c r="H57" i="5"/>
  <c r="J56" i="5"/>
  <c r="O54" i="5"/>
  <c r="H49" i="5"/>
  <c r="J48" i="5"/>
  <c r="O46" i="5"/>
  <c r="H41" i="5"/>
  <c r="J40" i="5"/>
  <c r="O38" i="5"/>
  <c r="Q86" i="5"/>
  <c r="I62" i="5"/>
  <c r="K64" i="5"/>
  <c r="O94" i="5"/>
  <c r="R100" i="5"/>
  <c r="G97" i="5"/>
  <c r="I96" i="5"/>
  <c r="N94" i="5"/>
  <c r="P93" i="5"/>
  <c r="R92" i="5"/>
  <c r="G89" i="5"/>
  <c r="I88" i="5"/>
  <c r="K87" i="5"/>
  <c r="N86" i="5"/>
  <c r="P85" i="5"/>
  <c r="R84" i="5"/>
  <c r="G81" i="5"/>
  <c r="I80" i="5"/>
  <c r="N78" i="5"/>
  <c r="P77" i="5"/>
  <c r="R76" i="5"/>
  <c r="G73" i="5"/>
  <c r="I72" i="5"/>
  <c r="K71" i="5"/>
  <c r="N70" i="5"/>
  <c r="P69" i="5"/>
  <c r="R68" i="5"/>
  <c r="G65" i="5"/>
  <c r="I64" i="5"/>
  <c r="N62" i="5"/>
  <c r="P61" i="5"/>
  <c r="R60" i="5"/>
  <c r="G57" i="5"/>
  <c r="I56" i="5"/>
  <c r="K55" i="5"/>
  <c r="N54" i="5"/>
  <c r="P53" i="5"/>
  <c r="R52" i="5"/>
  <c r="G49" i="5"/>
  <c r="I48" i="5"/>
  <c r="N46" i="5"/>
  <c r="P45" i="5"/>
  <c r="R44" i="5"/>
  <c r="G41" i="5"/>
  <c r="I40" i="5"/>
  <c r="K39" i="5"/>
  <c r="N38" i="5"/>
  <c r="R73" i="5"/>
  <c r="N61" i="5"/>
  <c r="S44" i="5"/>
  <c r="M40" i="5"/>
  <c r="G40" i="5"/>
  <c r="H96" i="5"/>
  <c r="J87" i="5"/>
  <c r="J71" i="5"/>
  <c r="H64" i="5"/>
  <c r="H56" i="5"/>
  <c r="J55" i="5"/>
  <c r="H48" i="5"/>
  <c r="R41" i="5"/>
  <c r="M41" i="5"/>
  <c r="H40" i="5"/>
  <c r="J39" i="5"/>
  <c r="J97" i="5"/>
  <c r="H88" i="5"/>
  <c r="H80" i="5"/>
  <c r="H72" i="5"/>
  <c r="P100" i="5"/>
  <c r="R99" i="5"/>
  <c r="G96" i="5"/>
  <c r="K94" i="5"/>
  <c r="P92" i="5"/>
  <c r="R91" i="5"/>
  <c r="I87" i="5"/>
  <c r="K86" i="5"/>
  <c r="N85" i="5"/>
  <c r="P84" i="5"/>
  <c r="R83" i="5"/>
  <c r="G80" i="5"/>
  <c r="K78" i="5"/>
  <c r="P76" i="5"/>
  <c r="R75" i="5"/>
  <c r="I71" i="5"/>
  <c r="K70" i="5"/>
  <c r="N69" i="5"/>
  <c r="P68" i="5"/>
  <c r="R67" i="5"/>
  <c r="G64" i="5"/>
  <c r="K62" i="5"/>
  <c r="P60" i="5"/>
  <c r="R59" i="5"/>
  <c r="I55" i="5"/>
  <c r="K54" i="5"/>
  <c r="N53" i="5"/>
  <c r="P52" i="5"/>
  <c r="R51" i="5"/>
  <c r="G48" i="5"/>
  <c r="K46" i="5"/>
  <c r="P44" i="5"/>
  <c r="R43" i="5"/>
  <c r="I39" i="5"/>
  <c r="K38" i="5"/>
  <c r="O96" i="5"/>
  <c r="K84" i="5"/>
  <c r="G72" i="5"/>
  <c r="E85" i="5"/>
  <c r="F85" i="5" s="1"/>
  <c r="E69" i="5"/>
  <c r="F69" i="5" s="1"/>
  <c r="E53" i="5"/>
  <c r="F53" i="5" s="1"/>
  <c r="E88" i="5"/>
  <c r="F88" i="5" s="1"/>
  <c r="E72" i="5"/>
  <c r="F72" i="5" s="1"/>
  <c r="E56" i="5"/>
  <c r="F56" i="5" s="1"/>
  <c r="E40" i="5"/>
  <c r="F40" i="5" s="1"/>
  <c r="E91" i="5"/>
  <c r="F91" i="5" s="1"/>
  <c r="E75" i="5"/>
  <c r="F75" i="5" s="1"/>
  <c r="E59" i="5"/>
  <c r="F59" i="5" s="1"/>
  <c r="E43" i="5"/>
  <c r="F43" i="5" s="1"/>
  <c r="E94" i="5"/>
  <c r="F94" i="5" s="1"/>
  <c r="E78" i="5"/>
  <c r="F78" i="5" s="1"/>
  <c r="E62" i="5"/>
  <c r="F62" i="5" s="1"/>
  <c r="E46" i="5"/>
  <c r="F46" i="5" s="1"/>
  <c r="E97" i="5"/>
  <c r="F97" i="5" s="1"/>
  <c r="E81" i="5"/>
  <c r="F81" i="5" s="1"/>
  <c r="E65" i="5"/>
  <c r="F65" i="5" s="1"/>
  <c r="E49" i="5"/>
  <c r="F49" i="5" s="1"/>
  <c r="E100" i="5"/>
  <c r="F100" i="5" s="1"/>
  <c r="E84" i="5"/>
  <c r="F84" i="5" s="1"/>
  <c r="E68" i="5"/>
  <c r="F68" i="5" s="1"/>
  <c r="E52" i="5"/>
  <c r="F52" i="5" s="1"/>
  <c r="E87" i="5"/>
  <c r="F87" i="5" s="1"/>
  <c r="E71" i="5"/>
  <c r="F71" i="5" s="1"/>
  <c r="E55" i="5"/>
  <c r="F55" i="5" s="1"/>
  <c r="E39" i="5"/>
  <c r="F39" i="5" s="1"/>
  <c r="E90" i="5"/>
  <c r="F90" i="5" s="1"/>
  <c r="E74" i="5"/>
  <c r="F74" i="5" s="1"/>
  <c r="E58" i="5"/>
  <c r="F58" i="5" s="1"/>
  <c r="E42" i="5"/>
  <c r="F42" i="5" s="1"/>
  <c r="E93" i="5"/>
  <c r="F93" i="5" s="1"/>
  <c r="E77" i="5"/>
  <c r="F77" i="5" s="1"/>
  <c r="E61" i="5"/>
  <c r="F61" i="5" s="1"/>
  <c r="E45" i="5"/>
  <c r="F45" i="5" s="1"/>
  <c r="E96" i="5"/>
  <c r="F96" i="5" s="1"/>
  <c r="E80" i="5"/>
  <c r="F80" i="5" s="1"/>
  <c r="E64" i="5"/>
  <c r="F64" i="5" s="1"/>
  <c r="E48" i="5"/>
  <c r="F48" i="5" s="1"/>
  <c r="E99" i="5"/>
  <c r="F99" i="5" s="1"/>
  <c r="E83" i="5"/>
  <c r="F83" i="5" s="1"/>
  <c r="E67" i="5"/>
  <c r="F67" i="5" s="1"/>
  <c r="E51" i="5"/>
  <c r="F51" i="5" s="1"/>
  <c r="E86" i="5"/>
  <c r="F86" i="5" s="1"/>
  <c r="E70" i="5"/>
  <c r="F70" i="5" s="1"/>
  <c r="E54" i="5"/>
  <c r="F54" i="5" s="1"/>
  <c r="E38" i="5"/>
  <c r="F38" i="5" s="1"/>
  <c r="E89" i="5"/>
  <c r="F89" i="5" s="1"/>
  <c r="E73" i="5"/>
  <c r="F73" i="5" s="1"/>
  <c r="E57" i="5"/>
  <c r="F57" i="5" s="1"/>
  <c r="E41" i="5"/>
  <c r="F41" i="5" s="1"/>
  <c r="E92" i="5"/>
  <c r="F92" i="5" s="1"/>
  <c r="E76" i="5"/>
  <c r="F76" i="5" s="1"/>
  <c r="E60" i="5"/>
  <c r="F60" i="5" s="1"/>
  <c r="E44" i="5"/>
  <c r="F44" i="5" s="1"/>
  <c r="C6" i="6"/>
  <c r="D6" i="6" s="1"/>
  <c r="E6" i="6" s="1" a="1"/>
  <c r="E6" i="6" s="1"/>
  <c r="C10" i="6"/>
  <c r="C16" i="6"/>
  <c r="D16" i="6" s="1"/>
  <c r="E16" i="6" s="1" a="1"/>
  <c r="E16" i="6" s="1"/>
  <c r="C12" i="6"/>
  <c r="D12" i="6" s="1"/>
  <c r="E12" i="6" s="1" a="1"/>
  <c r="E12" i="6" s="1"/>
  <c r="C5" i="6"/>
  <c r="C17" i="6"/>
  <c r="C8" i="6"/>
  <c r="D8" i="6" s="1"/>
  <c r="E8" i="6" s="1" a="1"/>
  <c r="E8" i="6" s="1"/>
  <c r="C14" i="6"/>
  <c r="C13" i="6"/>
  <c r="D13" i="6" s="1"/>
  <c r="E13" i="6" s="1" a="1"/>
  <c r="E13" i="6" s="1"/>
  <c r="C19" i="6"/>
  <c r="D19" i="6" s="1"/>
  <c r="E19" i="6" s="1" a="1"/>
  <c r="E19" i="6" s="1"/>
  <c r="C9" i="6"/>
  <c r="D9" i="6" s="1"/>
  <c r="E9" i="6" s="1" a="1"/>
  <c r="E9" i="6" s="1"/>
  <c r="C3" i="6"/>
  <c r="D3" i="6" s="1"/>
  <c r="E3" i="6" s="1" a="1"/>
  <c r="E3" i="6" s="1"/>
  <c r="C18" i="6"/>
  <c r="C20" i="6"/>
  <c r="C4" i="6"/>
  <c r="C7" i="6"/>
  <c r="C15" i="6"/>
  <c r="D15" i="6" s="1"/>
  <c r="E15" i="6" s="1" a="1"/>
  <c r="E15" i="6" s="1"/>
  <c r="C11" i="6"/>
  <c r="C2" i="6"/>
  <c r="F16" i="5"/>
  <c r="S26" i="5"/>
  <c r="S18" i="5"/>
  <c r="S10" i="5"/>
  <c r="S37" i="5"/>
  <c r="S29" i="5"/>
  <c r="S28" i="5"/>
  <c r="S20" i="5"/>
  <c r="S22" i="5"/>
  <c r="S6" i="5"/>
  <c r="S33" i="5"/>
  <c r="S25" i="5"/>
  <c r="S17" i="5"/>
  <c r="S9" i="5"/>
  <c r="S36" i="5"/>
  <c r="S4" i="5"/>
  <c r="S31" i="5"/>
  <c r="S21" i="5"/>
  <c r="S13" i="5"/>
  <c r="S5" i="5"/>
  <c r="S32" i="5"/>
  <c r="S24" i="5"/>
  <c r="S8" i="5"/>
  <c r="S35" i="5"/>
  <c r="S23" i="5"/>
  <c r="S15" i="5"/>
  <c r="S7" i="5"/>
  <c r="R23" i="5"/>
  <c r="R15" i="5"/>
  <c r="S27" i="5"/>
  <c r="S11" i="5"/>
  <c r="S30" i="5"/>
  <c r="R30" i="5"/>
  <c r="R7" i="5"/>
  <c r="Q23" i="5"/>
  <c r="Q15" i="5"/>
  <c r="Q7" i="5"/>
  <c r="S2" i="5"/>
  <c r="R2" i="5"/>
  <c r="O23" i="5"/>
  <c r="O15" i="5"/>
  <c r="O7" i="5"/>
  <c r="L23" i="5"/>
  <c r="L15" i="5"/>
  <c r="L7" i="5"/>
  <c r="R26" i="5"/>
  <c r="R18" i="5"/>
  <c r="R10" i="5"/>
  <c r="R37" i="5"/>
  <c r="R29" i="5"/>
  <c r="Q25" i="5"/>
  <c r="Q17" i="5"/>
  <c r="Q9" i="5"/>
  <c r="Q36" i="5"/>
  <c r="R35" i="5"/>
  <c r="Q24" i="5"/>
  <c r="Q8" i="5"/>
  <c r="Q35" i="5"/>
  <c r="P23" i="5"/>
  <c r="R22" i="5"/>
  <c r="R6" i="5"/>
  <c r="R33" i="5"/>
  <c r="R13" i="5"/>
  <c r="R32" i="5"/>
  <c r="R28" i="5"/>
  <c r="R20" i="5"/>
  <c r="R4" i="5"/>
  <c r="R31" i="5"/>
  <c r="R27" i="5"/>
  <c r="R11" i="5"/>
  <c r="R25" i="5"/>
  <c r="R17" i="5"/>
  <c r="R9" i="5"/>
  <c r="R36" i="5"/>
  <c r="O24" i="5"/>
  <c r="O8" i="5"/>
  <c r="P15" i="5"/>
  <c r="P7" i="5"/>
  <c r="Q2" i="5"/>
  <c r="Q21" i="5"/>
  <c r="Q13" i="5"/>
  <c r="Q5" i="5"/>
  <c r="Q32" i="5"/>
  <c r="R24" i="5"/>
  <c r="R8" i="5"/>
  <c r="P28" i="5"/>
  <c r="P20" i="5"/>
  <c r="P4" i="5"/>
  <c r="P31" i="5"/>
  <c r="R21" i="5"/>
  <c r="R5" i="5"/>
  <c r="Q22" i="5"/>
  <c r="Q6" i="5"/>
  <c r="Q33" i="5"/>
  <c r="Q28" i="5"/>
  <c r="Q20" i="5"/>
  <c r="Q4" i="5"/>
  <c r="Q31" i="5"/>
  <c r="Q27" i="5"/>
  <c r="Q11" i="5"/>
  <c r="Q30" i="5"/>
  <c r="Q26" i="5"/>
  <c r="Q18" i="5"/>
  <c r="Q37" i="5"/>
  <c r="Q29" i="5"/>
  <c r="Q10" i="5"/>
  <c r="P26" i="5"/>
  <c r="P18" i="5"/>
  <c r="P10" i="5"/>
  <c r="P37" i="5"/>
  <c r="P29" i="5"/>
  <c r="O36" i="5"/>
  <c r="P24" i="5"/>
  <c r="P8" i="5"/>
  <c r="P35" i="5"/>
  <c r="P27" i="5"/>
  <c r="P11" i="5"/>
  <c r="P30" i="5"/>
  <c r="O18" i="5"/>
  <c r="P25" i="5"/>
  <c r="P17" i="5"/>
  <c r="P9" i="5"/>
  <c r="P36" i="5"/>
  <c r="F12" i="5"/>
  <c r="N23" i="5"/>
  <c r="P22" i="5"/>
  <c r="P6" i="5"/>
  <c r="P33" i="5"/>
  <c r="P2" i="5"/>
  <c r="P21" i="5"/>
  <c r="P13" i="5"/>
  <c r="P5" i="5"/>
  <c r="P32" i="5"/>
  <c r="O25" i="5"/>
  <c r="O17" i="5"/>
  <c r="O22" i="5"/>
  <c r="O6" i="5"/>
  <c r="O33" i="5"/>
  <c r="O28" i="5"/>
  <c r="O20" i="5"/>
  <c r="O4" i="5"/>
  <c r="O31" i="5"/>
  <c r="N25" i="5"/>
  <c r="K18" i="5"/>
  <c r="N17" i="5"/>
  <c r="N9" i="5"/>
  <c r="N36" i="5"/>
  <c r="O35" i="5"/>
  <c r="F3" i="5"/>
  <c r="O2" i="5"/>
  <c r="O21" i="5"/>
  <c r="O13" i="5"/>
  <c r="O5" i="5"/>
  <c r="O32" i="5"/>
  <c r="O26" i="5"/>
  <c r="O10" i="5"/>
  <c r="O37" i="5"/>
  <c r="O29" i="5"/>
  <c r="O30" i="5"/>
  <c r="N24" i="5"/>
  <c r="N8" i="5"/>
  <c r="N35" i="5"/>
  <c r="O27" i="5"/>
  <c r="O11" i="5"/>
  <c r="N7" i="5"/>
  <c r="O9" i="5"/>
  <c r="N21" i="5"/>
  <c r="N13" i="5"/>
  <c r="N5" i="5"/>
  <c r="N32" i="5"/>
  <c r="N26" i="5"/>
  <c r="N18" i="5"/>
  <c r="K11" i="5"/>
  <c r="N10" i="5"/>
  <c r="N37" i="5"/>
  <c r="N29" i="5"/>
  <c r="N15" i="5"/>
  <c r="N22" i="5"/>
  <c r="N6" i="5"/>
  <c r="N33" i="5"/>
  <c r="N28" i="5"/>
  <c r="N20" i="5"/>
  <c r="N4" i="5"/>
  <c r="N31" i="5"/>
  <c r="N27" i="5"/>
  <c r="N11" i="5"/>
  <c r="L18" i="5"/>
  <c r="N30" i="5"/>
  <c r="L24" i="5"/>
  <c r="L8" i="5"/>
  <c r="L35" i="5"/>
  <c r="J35" i="5"/>
  <c r="L22" i="5"/>
  <c r="L6" i="5"/>
  <c r="L33" i="5"/>
  <c r="N2" i="5"/>
  <c r="L25" i="5"/>
  <c r="L17" i="5"/>
  <c r="L9" i="5"/>
  <c r="L36" i="5"/>
  <c r="L13" i="5"/>
  <c r="L28" i="5"/>
  <c r="L20" i="5"/>
  <c r="L4" i="5"/>
  <c r="L2" i="5"/>
  <c r="L27" i="5"/>
  <c r="L11" i="5"/>
  <c r="L30" i="5"/>
  <c r="L26" i="5"/>
  <c r="L10" i="5"/>
  <c r="L37" i="5"/>
  <c r="L29" i="5"/>
  <c r="K27" i="5"/>
  <c r="L32" i="5"/>
  <c r="L31" i="5"/>
  <c r="K36" i="5"/>
  <c r="F19" i="5"/>
  <c r="K24" i="5"/>
  <c r="K8" i="5"/>
  <c r="K35" i="5"/>
  <c r="K15" i="5"/>
  <c r="K21" i="5"/>
  <c r="K13" i="5"/>
  <c r="K5" i="5"/>
  <c r="K32" i="5"/>
  <c r="L21" i="5"/>
  <c r="L5" i="5"/>
  <c r="K28" i="5"/>
  <c r="K20" i="5"/>
  <c r="K4" i="5"/>
  <c r="K31" i="5"/>
  <c r="K30" i="5"/>
  <c r="K26" i="5"/>
  <c r="K10" i="5"/>
  <c r="K37" i="5"/>
  <c r="K29" i="5"/>
  <c r="J18" i="5"/>
  <c r="K25" i="5"/>
  <c r="K17" i="5"/>
  <c r="K9" i="5"/>
  <c r="K23" i="5"/>
  <c r="K7" i="5"/>
  <c r="K22" i="5"/>
  <c r="K6" i="5"/>
  <c r="K33" i="5"/>
  <c r="F34" i="5"/>
  <c r="K2" i="5"/>
  <c r="J27" i="5"/>
  <c r="J11" i="5"/>
  <c r="J25" i="5"/>
  <c r="J17" i="5"/>
  <c r="J9" i="5"/>
  <c r="J36" i="5"/>
  <c r="J22" i="5"/>
  <c r="J6" i="5"/>
  <c r="J33" i="5"/>
  <c r="J28" i="5"/>
  <c r="J20" i="5"/>
  <c r="J4" i="5"/>
  <c r="J31" i="5"/>
  <c r="J2" i="5"/>
  <c r="J26" i="5"/>
  <c r="J10" i="5"/>
  <c r="J37" i="5"/>
  <c r="J29" i="5"/>
  <c r="J24" i="5"/>
  <c r="J8" i="5"/>
  <c r="J23" i="5"/>
  <c r="J15" i="5"/>
  <c r="J7" i="5"/>
  <c r="J21" i="5"/>
  <c r="J13" i="5"/>
  <c r="J5" i="5"/>
  <c r="J32" i="5"/>
  <c r="F14" i="5"/>
  <c r="J30" i="5"/>
  <c r="I26" i="5"/>
  <c r="I18" i="5"/>
  <c r="I10" i="5"/>
  <c r="I37" i="5"/>
  <c r="I29" i="5"/>
  <c r="I25" i="5"/>
  <c r="I17" i="5"/>
  <c r="I9" i="5"/>
  <c r="I36" i="5"/>
  <c r="I23" i="5"/>
  <c r="I15" i="5"/>
  <c r="I7" i="5"/>
  <c r="I22" i="5"/>
  <c r="I6" i="5"/>
  <c r="I33" i="5"/>
  <c r="I28" i="5"/>
  <c r="I20" i="5"/>
  <c r="I4" i="5"/>
  <c r="I31" i="5"/>
  <c r="I27" i="5"/>
  <c r="I11" i="5"/>
  <c r="I30" i="5"/>
  <c r="I24" i="5"/>
  <c r="I8" i="5"/>
  <c r="I35" i="5"/>
  <c r="H22" i="5"/>
  <c r="H6" i="5"/>
  <c r="H33" i="5"/>
  <c r="I21" i="5"/>
  <c r="I13" i="5"/>
  <c r="I5" i="5"/>
  <c r="I32" i="5"/>
  <c r="H28" i="5"/>
  <c r="H20" i="5"/>
  <c r="H4" i="5"/>
  <c r="H31" i="5"/>
  <c r="I2" i="5"/>
  <c r="H2" i="5"/>
  <c r="H26" i="5"/>
  <c r="H18" i="5"/>
  <c r="H10" i="5"/>
  <c r="H37" i="5"/>
  <c r="H29" i="5"/>
  <c r="H24" i="5"/>
  <c r="H8" i="5"/>
  <c r="H35" i="5"/>
  <c r="G22" i="5"/>
  <c r="H21" i="5"/>
  <c r="H5" i="5"/>
  <c r="H32" i="5"/>
  <c r="C33" i="5"/>
  <c r="T33" i="5" s="1"/>
  <c r="U33" i="5" s="1" a="1"/>
  <c r="U33" i="5" s="1"/>
  <c r="H27" i="5"/>
  <c r="H11" i="5"/>
  <c r="H30" i="5"/>
  <c r="H25" i="5"/>
  <c r="H17" i="5"/>
  <c r="H9" i="5"/>
  <c r="H36" i="5"/>
  <c r="H15" i="5"/>
  <c r="H13" i="5"/>
  <c r="G31" i="5"/>
  <c r="H23" i="5"/>
  <c r="H7" i="5"/>
  <c r="G35" i="5"/>
  <c r="G20" i="5"/>
  <c r="G4" i="5"/>
  <c r="G11" i="5"/>
  <c r="G26" i="5"/>
  <c r="G18" i="5"/>
  <c r="E11" i="5"/>
  <c r="F11" i="5" s="1"/>
  <c r="G9" i="5"/>
  <c r="E37" i="5"/>
  <c r="F37" i="5" s="1"/>
  <c r="D34" i="5"/>
  <c r="S34" i="5" s="1"/>
  <c r="G25" i="5"/>
  <c r="G17" i="5"/>
  <c r="D12" i="5"/>
  <c r="M12" i="5" s="1"/>
  <c r="G24" i="5"/>
  <c r="G15" i="5"/>
  <c r="C10" i="5"/>
  <c r="T10" i="5" s="1"/>
  <c r="U10" i="5" s="1" a="1"/>
  <c r="U10" i="5" s="1"/>
  <c r="G29" i="5"/>
  <c r="D16" i="5"/>
  <c r="N16" i="5" s="1"/>
  <c r="G21" i="5"/>
  <c r="G13" i="5"/>
  <c r="C35" i="5"/>
  <c r="G8" i="5"/>
  <c r="G33" i="5"/>
  <c r="C5" i="5"/>
  <c r="G32" i="5"/>
  <c r="G23" i="5"/>
  <c r="G10" i="5"/>
  <c r="G2" i="5"/>
  <c r="G37" i="5"/>
  <c r="G30" i="5"/>
  <c r="G28" i="5"/>
  <c r="G36" i="5"/>
  <c r="C31" i="5"/>
  <c r="T31" i="5" s="1"/>
  <c r="U31" i="5" s="1" a="1"/>
  <c r="U31" i="5" s="1"/>
  <c r="G7" i="5"/>
  <c r="G27" i="5"/>
  <c r="G6" i="5"/>
  <c r="E28" i="5"/>
  <c r="F28" i="5" s="1"/>
  <c r="G5" i="5"/>
  <c r="E33" i="5"/>
  <c r="F33" i="5" s="1"/>
  <c r="E27" i="5"/>
  <c r="F27" i="5" s="1"/>
  <c r="C32" i="5"/>
  <c r="C26" i="5"/>
  <c r="C19" i="5"/>
  <c r="T19" i="5" s="1"/>
  <c r="U19" i="5" s="1" a="1"/>
  <c r="U19" i="5" s="1"/>
  <c r="E35" i="5"/>
  <c r="F35" i="5" s="1"/>
  <c r="C8" i="5"/>
  <c r="T8" i="5" s="1"/>
  <c r="U8" i="5" s="1" a="1"/>
  <c r="U8" i="5" s="1"/>
  <c r="D3" i="5"/>
  <c r="L3" i="5" s="1"/>
  <c r="C22" i="5"/>
  <c r="T22" i="5" s="1"/>
  <c r="U22" i="5" s="1" a="1"/>
  <c r="U22" i="5" s="1"/>
  <c r="E13" i="5"/>
  <c r="F13" i="5" s="1"/>
  <c r="C37" i="5"/>
  <c r="T37" i="5" s="1"/>
  <c r="U37" i="5" s="1" a="1"/>
  <c r="U37" i="5" s="1"/>
  <c r="E31" i="5"/>
  <c r="F31" i="5" s="1"/>
  <c r="C21" i="5"/>
  <c r="T21" i="5" s="1"/>
  <c r="U21" i="5" s="1" a="1"/>
  <c r="U21" i="5" s="1"/>
  <c r="C36" i="5"/>
  <c r="C34" i="5"/>
  <c r="C14" i="5"/>
  <c r="T14" i="5" s="1"/>
  <c r="U14" i="5" s="1" a="1"/>
  <c r="U14" i="5" s="1"/>
  <c r="E36" i="5"/>
  <c r="F36" i="5" s="1"/>
  <c r="C30" i="5"/>
  <c r="C29" i="5"/>
  <c r="C23" i="5"/>
  <c r="D19" i="5"/>
  <c r="L19" i="5" s="1"/>
  <c r="C16" i="5"/>
  <c r="T16" i="5" s="1"/>
  <c r="U16" i="5" s="1" a="1"/>
  <c r="U16" i="5" s="1"/>
  <c r="E5" i="5"/>
  <c r="F5" i="5" s="1"/>
  <c r="C18" i="5"/>
  <c r="T18" i="5" s="1"/>
  <c r="U18" i="5" s="1" a="1"/>
  <c r="U18" i="5" s="1"/>
  <c r="E30" i="5"/>
  <c r="F30" i="5" s="1"/>
  <c r="C27" i="5"/>
  <c r="T27" i="5" s="1"/>
  <c r="U27" i="5" s="1" a="1"/>
  <c r="U27" i="5" s="1"/>
  <c r="C25" i="5"/>
  <c r="T25" i="5" s="1"/>
  <c r="U25" i="5" s="1" a="1"/>
  <c r="U25" i="5" s="1"/>
  <c r="E21" i="5"/>
  <c r="F21" i="5" s="1"/>
  <c r="C9" i="5"/>
  <c r="T9" i="5" s="1"/>
  <c r="U9" i="5" s="1" a="1"/>
  <c r="U9" i="5" s="1"/>
  <c r="E7" i="5"/>
  <c r="F7" i="5" s="1"/>
  <c r="E32" i="5"/>
  <c r="F32" i="5" s="1"/>
  <c r="D14" i="5"/>
  <c r="S14" i="5" s="1"/>
  <c r="E23" i="5"/>
  <c r="F23" i="5" s="1"/>
  <c r="C20" i="5"/>
  <c r="T20" i="5" s="1"/>
  <c r="U20" i="5" s="1" a="1"/>
  <c r="U20" i="5" s="1"/>
  <c r="C13" i="5"/>
  <c r="C6" i="5"/>
  <c r="C3" i="5"/>
  <c r="C24" i="5"/>
  <c r="C17" i="5"/>
  <c r="T17" i="5" s="1"/>
  <c r="U17" i="5" s="1" a="1"/>
  <c r="U17" i="5" s="1"/>
  <c r="E29" i="5"/>
  <c r="F29" i="5" s="1"/>
  <c r="C15" i="5"/>
  <c r="T15" i="5" s="1"/>
  <c r="U15" i="5" s="1" a="1"/>
  <c r="U15" i="5" s="1"/>
  <c r="C28" i="5"/>
  <c r="T28" i="5" s="1"/>
  <c r="U28" i="5" s="1" a="1"/>
  <c r="U28" i="5" s="1"/>
  <c r="C12" i="5"/>
  <c r="T12" i="5" s="1"/>
  <c r="U12" i="5" s="1" a="1"/>
  <c r="U12" i="5" s="1"/>
  <c r="C7" i="5"/>
  <c r="T7" i="5" s="1"/>
  <c r="U7" i="5" s="1" a="1"/>
  <c r="U7" i="5" s="1"/>
  <c r="C11" i="5"/>
  <c r="T11" i="5" s="1"/>
  <c r="U11" i="5" s="1" a="1"/>
  <c r="U11" i="5" s="1"/>
  <c r="C4" i="5"/>
  <c r="T4" i="5" s="1"/>
  <c r="U4" i="5" s="1" a="1"/>
  <c r="U4" i="5" s="1"/>
  <c r="E25" i="5"/>
  <c r="F25" i="5" s="1"/>
  <c r="E9" i="5"/>
  <c r="F9" i="5" s="1"/>
  <c r="E18" i="5"/>
  <c r="F18" i="5" s="1"/>
  <c r="E20" i="5"/>
  <c r="F20" i="5" s="1"/>
  <c r="E4" i="5"/>
  <c r="F4" i="5" s="1"/>
  <c r="E22" i="5"/>
  <c r="F22" i="5" s="1"/>
  <c r="E6" i="5"/>
  <c r="F6" i="5" s="1"/>
  <c r="E15" i="5"/>
  <c r="F15" i="5" s="1"/>
  <c r="E24" i="5"/>
  <c r="F24" i="5" s="1"/>
  <c r="E8" i="5"/>
  <c r="F8" i="5" s="1"/>
  <c r="E17" i="5"/>
  <c r="F17" i="5" s="1"/>
  <c r="E26" i="5"/>
  <c r="F26" i="5" s="1"/>
  <c r="E10" i="5"/>
  <c r="F10" i="5" s="1"/>
  <c r="E2" i="5"/>
  <c r="C2" i="5"/>
  <c r="T2" i="5" s="1"/>
  <c r="U2" i="5" s="1" a="1"/>
  <c r="U2" i="5" s="1"/>
  <c r="J19" i="4"/>
  <c r="K19" i="4" s="1"/>
  <c r="L19" i="4" s="1" a="1"/>
  <c r="L19" i="4" s="1"/>
  <c r="J13" i="4"/>
  <c r="K13" i="4" s="1"/>
  <c r="L13" i="4" s="1" a="1"/>
  <c r="L13" i="4" s="1"/>
  <c r="J18" i="4"/>
  <c r="K18" i="4" s="1"/>
  <c r="L18" i="4" s="1" a="1"/>
  <c r="L18" i="4" s="1"/>
  <c r="J20" i="4"/>
  <c r="K20" i="4" s="1"/>
  <c r="L20" i="4" s="1" a="1"/>
  <c r="L20" i="4" s="1"/>
  <c r="J12" i="4"/>
  <c r="K12" i="4" s="1"/>
  <c r="L12" i="4" s="1" a="1"/>
  <c r="L12" i="4" s="1"/>
  <c r="J11" i="4"/>
  <c r="K11" i="4" s="1"/>
  <c r="L11" i="4" s="1" a="1"/>
  <c r="L11" i="4" s="1"/>
  <c r="J7" i="4"/>
  <c r="K7" i="4" s="1"/>
  <c r="L7" i="4" s="1" a="1"/>
  <c r="L7" i="4" s="1"/>
  <c r="J9" i="4"/>
  <c r="K9" i="4" s="1"/>
  <c r="L9" i="4" s="1" a="1"/>
  <c r="L9" i="4" s="1"/>
  <c r="J5" i="4"/>
  <c r="K5" i="4" s="1"/>
  <c r="L5" i="4" s="1" a="1"/>
  <c r="L5" i="4" s="1"/>
  <c r="J3" i="4"/>
  <c r="K3" i="4" s="1"/>
  <c r="L3" i="4" s="1" a="1"/>
  <c r="L3" i="4" s="1"/>
  <c r="J8" i="4"/>
  <c r="K8" i="4" s="1"/>
  <c r="L8" i="4" s="1" a="1"/>
  <c r="L8" i="4" s="1"/>
  <c r="I4" i="4"/>
  <c r="J4" i="4" s="1"/>
  <c r="I10" i="4"/>
  <c r="J10" i="4" s="1"/>
  <c r="K10" i="4" s="1"/>
  <c r="L10" i="4" s="1" a="1"/>
  <c r="L10" i="4" s="1"/>
  <c r="I17" i="4"/>
  <c r="J17" i="4" s="1"/>
  <c r="K17" i="4" s="1"/>
  <c r="L17" i="4" s="1" a="1"/>
  <c r="L17" i="4" s="1"/>
  <c r="I16" i="4"/>
  <c r="J16" i="4" s="1"/>
  <c r="K16" i="4" s="1"/>
  <c r="L16" i="4" s="1" a="1"/>
  <c r="L16" i="4" s="1"/>
  <c r="I15" i="4"/>
  <c r="J15" i="4" s="1"/>
  <c r="K15" i="4" s="1"/>
  <c r="L15" i="4" s="1" a="1"/>
  <c r="L15" i="4" s="1"/>
  <c r="I14" i="4"/>
  <c r="J14" i="4" s="1"/>
  <c r="K14" i="4" s="1"/>
  <c r="L14" i="4" s="1" a="1"/>
  <c r="L14" i="4" s="1"/>
  <c r="I6" i="4"/>
  <c r="J6" i="4" s="1"/>
  <c r="K6" i="4" s="1"/>
  <c r="L6" i="4" s="1" a="1"/>
  <c r="L6" i="4" s="1"/>
  <c r="B18" i="4"/>
  <c r="B9" i="4"/>
  <c r="B8" i="4"/>
  <c r="B7" i="4"/>
  <c r="C17" i="4"/>
  <c r="E17" i="4" s="1" a="1"/>
  <c r="E17" i="4" s="1"/>
  <c r="F17" i="4" s="1" a="1"/>
  <c r="F17" i="4" s="1"/>
  <c r="C15" i="4"/>
  <c r="B13" i="4"/>
  <c r="B5" i="4"/>
  <c r="C10" i="4"/>
  <c r="E10" i="4" s="1" a="1"/>
  <c r="E10" i="4" s="1"/>
  <c r="F10" i="4" s="1" a="1"/>
  <c r="F10" i="4" s="1"/>
  <c r="B20" i="4"/>
  <c r="B12" i="4"/>
  <c r="C14" i="4"/>
  <c r="E14" i="4" s="1" a="1"/>
  <c r="E14" i="4" s="1"/>
  <c r="F14" i="4" s="1" a="1"/>
  <c r="F14" i="4" s="1"/>
  <c r="C6" i="4"/>
  <c r="E6" i="4" s="1" a="1"/>
  <c r="E6" i="4" s="1"/>
  <c r="F6" i="4" s="1" a="1"/>
  <c r="F6" i="4" s="1"/>
  <c r="B19" i="4"/>
  <c r="B11" i="4"/>
  <c r="B3" i="4"/>
  <c r="I2" i="4"/>
  <c r="J2" i="4" s="1"/>
  <c r="C16" i="4"/>
  <c r="E16" i="4" s="1" a="1"/>
  <c r="E16" i="4" s="1"/>
  <c r="F16" i="4" s="1" a="1"/>
  <c r="F16" i="4" s="1"/>
  <c r="C4" i="4"/>
  <c r="E4" i="4" s="1" a="1"/>
  <c r="E4" i="4" s="1"/>
  <c r="F4" i="4" s="1" a="1"/>
  <c r="F4" i="4" s="1"/>
  <c r="C2" i="4"/>
  <c r="E2" i="4" s="1" a="1"/>
  <c r="E2" i="4" s="1"/>
  <c r="F2" i="4" s="1" a="1"/>
  <c r="F2" i="4" s="1"/>
  <c r="K3" i="1"/>
  <c r="AD6" i="1" s="1"/>
  <c r="N11" i="2" a="1"/>
  <c r="N11" i="2" s="1"/>
  <c r="N8" i="2" a="1"/>
  <c r="N8" i="2" s="1"/>
  <c r="N3" i="2" a="1"/>
  <c r="N3" i="2" s="1"/>
  <c r="P19" i="2" a="1"/>
  <c r="P19" i="2" s="1"/>
  <c r="N19" i="2" a="1"/>
  <c r="N19" i="2" s="1"/>
  <c r="N13" i="2" a="1"/>
  <c r="N13" i="2" s="1"/>
  <c r="N7" i="2" a="1"/>
  <c r="N7" i="2" s="1"/>
  <c r="P5" i="2" a="1"/>
  <c r="P5" i="2" s="1"/>
  <c r="P17" i="2" a="1"/>
  <c r="P17" i="2" s="1"/>
  <c r="P9" i="2" a="1"/>
  <c r="P9" i="2" s="1"/>
  <c r="N4" i="2" a="1"/>
  <c r="N4" i="2" s="1"/>
  <c r="N2" i="2" a="1"/>
  <c r="N2" i="2" s="1"/>
  <c r="J3" i="1"/>
  <c r="AV9" i="1" s="1"/>
  <c r="AV10" i="1" s="1"/>
  <c r="I3" i="1"/>
  <c r="AP9" i="1" s="1"/>
  <c r="D14" i="3" a="1"/>
  <c r="D14" i="3" s="1"/>
  <c r="E14" i="3" s="1"/>
  <c r="D6" i="3" a="1"/>
  <c r="D6" i="3" s="1"/>
  <c r="E6" i="3" s="1"/>
  <c r="D20" i="3" a="1"/>
  <c r="D20" i="3" s="1"/>
  <c r="E20" i="3" s="1"/>
  <c r="D12" i="3" a="1"/>
  <c r="D12" i="3" s="1"/>
  <c r="E12" i="3" s="1"/>
  <c r="D4" i="3" a="1"/>
  <c r="D4" i="3" s="1"/>
  <c r="E4" i="3" s="1"/>
  <c r="D13" i="3" a="1"/>
  <c r="D13" i="3" s="1"/>
  <c r="E13" i="3" s="1"/>
  <c r="D19" i="3" a="1"/>
  <c r="D19" i="3" s="1"/>
  <c r="E19" i="3" s="1"/>
  <c r="D11" i="3" a="1"/>
  <c r="D11" i="3" s="1"/>
  <c r="E11" i="3" s="1"/>
  <c r="D3" i="3" a="1"/>
  <c r="D3" i="3" s="1"/>
  <c r="E3" i="3" s="1"/>
  <c r="D5" i="3" a="1"/>
  <c r="D5" i="3" s="1"/>
  <c r="E5" i="3" s="1"/>
  <c r="D18" i="3" a="1"/>
  <c r="D18" i="3" s="1"/>
  <c r="D10" i="3" a="1"/>
  <c r="D10" i="3" s="1"/>
  <c r="E10" i="3" s="1"/>
  <c r="D17" i="3" a="1"/>
  <c r="D17" i="3" s="1"/>
  <c r="E17" i="3" s="1"/>
  <c r="D9" i="3" a="1"/>
  <c r="D9" i="3" s="1"/>
  <c r="E9" i="3" s="1"/>
  <c r="D16" i="3" a="1"/>
  <c r="D16" i="3" s="1"/>
  <c r="E16" i="3" s="1"/>
  <c r="D8" i="3" a="1"/>
  <c r="D8" i="3" s="1"/>
  <c r="E8" i="3" s="1"/>
  <c r="D15" i="3" a="1"/>
  <c r="D15" i="3" s="1"/>
  <c r="E15" i="3" s="1"/>
  <c r="D7" i="3" a="1"/>
  <c r="D7" i="3" s="1"/>
  <c r="E7" i="3" s="1"/>
  <c r="D2" i="3" a="1"/>
  <c r="D2" i="3" s="1"/>
  <c r="E2" i="3" s="1"/>
  <c r="E3" i="1"/>
  <c r="F3" i="1"/>
  <c r="H3" i="1"/>
  <c r="G3" i="1"/>
  <c r="D3" i="1"/>
  <c r="H14" i="2"/>
  <c r="H6" i="2"/>
  <c r="O7" i="1"/>
  <c r="H15" i="2"/>
  <c r="H11" i="2"/>
  <c r="H12" i="2"/>
  <c r="H10" i="2"/>
  <c r="H9" i="2"/>
  <c r="H17" i="2"/>
  <c r="F14" i="2"/>
  <c r="H5" i="2"/>
  <c r="H3" i="2"/>
  <c r="H19" i="2"/>
  <c r="F15" i="2"/>
  <c r="H8" i="2"/>
  <c r="G9" i="2"/>
  <c r="H21" i="2"/>
  <c r="F21" i="2"/>
  <c r="F11" i="2"/>
  <c r="H18" i="2"/>
  <c r="F6" i="2"/>
  <c r="F8" i="2"/>
  <c r="H13" i="2"/>
  <c r="H2" i="2"/>
  <c r="F2" i="2"/>
  <c r="F13" i="2"/>
  <c r="F12" i="2"/>
  <c r="E2" i="2"/>
  <c r="D5" i="2"/>
  <c r="G17" i="2"/>
  <c r="D12" i="2"/>
  <c r="H7" i="2"/>
  <c r="F3" i="2"/>
  <c r="D20" i="2"/>
  <c r="F18" i="2"/>
  <c r="D17" i="2"/>
  <c r="F16" i="2"/>
  <c r="D18" i="2"/>
  <c r="D15" i="2"/>
  <c r="H16" i="2"/>
  <c r="E8" i="2"/>
  <c r="F7" i="2"/>
  <c r="F10" i="2"/>
  <c r="G19" i="2"/>
  <c r="H20" i="2"/>
  <c r="D16" i="2"/>
  <c r="F20" i="2"/>
  <c r="D6" i="2"/>
  <c r="D10" i="2"/>
  <c r="E4" i="2"/>
  <c r="D14" i="2"/>
  <c r="D9" i="2"/>
  <c r="E19" i="2"/>
  <c r="D21" i="2"/>
  <c r="E11" i="2"/>
  <c r="F4" i="2"/>
  <c r="H4" i="2"/>
  <c r="G5" i="2"/>
  <c r="E3" i="2"/>
  <c r="E7" i="2"/>
  <c r="E13" i="2"/>
  <c r="P15" i="2" l="1" a="1"/>
  <c r="P15" i="2" s="1"/>
  <c r="P10" i="2" a="1"/>
  <c r="P10" i="2" s="1"/>
  <c r="T6" i="5"/>
  <c r="T29" i="5"/>
  <c r="T50" i="5"/>
  <c r="U50" i="5" s="1" a="1"/>
  <c r="U50" i="5" s="1"/>
  <c r="B20" i="8"/>
  <c r="T87" i="5"/>
  <c r="T32" i="5"/>
  <c r="T73" i="5"/>
  <c r="U73" i="5" s="1" a="1"/>
  <c r="U73" i="5" s="1"/>
  <c r="T26" i="5"/>
  <c r="U26" i="5" s="1" a="1"/>
  <c r="U26" i="5" s="1"/>
  <c r="T95" i="5"/>
  <c r="U95" i="5" s="1" a="1"/>
  <c r="U95" i="5" s="1"/>
  <c r="T5" i="5"/>
  <c r="U5" i="5" s="1" a="1"/>
  <c r="U5" i="5" s="1"/>
  <c r="T34" i="5"/>
  <c r="U34" i="5" s="1" a="1"/>
  <c r="U34" i="5" s="1"/>
  <c r="T45" i="5"/>
  <c r="T13" i="5"/>
  <c r="U13" i="5" s="1" a="1"/>
  <c r="U13" i="5" s="1"/>
  <c r="B13" i="8" s="1"/>
  <c r="B66" i="8"/>
  <c r="T53" i="5"/>
  <c r="U53" i="5" s="1" a="1"/>
  <c r="U53" i="5" s="1"/>
  <c r="T90" i="5"/>
  <c r="B9" i="8"/>
  <c r="T89" i="5"/>
  <c r="U89" i="5" s="1" a="1"/>
  <c r="U89" i="5" s="1"/>
  <c r="T61" i="5"/>
  <c r="T70" i="5"/>
  <c r="U70" i="5" s="1" a="1"/>
  <c r="U70" i="5" s="1"/>
  <c r="T48" i="5"/>
  <c r="U48" i="5" s="1" a="1"/>
  <c r="U48" i="5" s="1"/>
  <c r="T98" i="5"/>
  <c r="U98" i="5" s="1" a="1"/>
  <c r="U98" i="5" s="1"/>
  <c r="T78" i="5"/>
  <c r="U78" i="5" s="1" a="1"/>
  <c r="U78" i="5" s="1"/>
  <c r="T99" i="5"/>
  <c r="U99" i="5" s="1" a="1"/>
  <c r="U99" i="5" s="1"/>
  <c r="T36" i="5"/>
  <c r="T44" i="5"/>
  <c r="T77" i="5"/>
  <c r="U77" i="5" s="1" a="1"/>
  <c r="U77" i="5" s="1"/>
  <c r="T94" i="5"/>
  <c r="U94" i="5" s="1" a="1"/>
  <c r="U94" i="5" s="1"/>
  <c r="T23" i="5"/>
  <c r="B10" i="8"/>
  <c r="B100" i="8"/>
  <c r="B64" i="8"/>
  <c r="T52" i="5"/>
  <c r="T85" i="5"/>
  <c r="T35" i="5"/>
  <c r="U35" i="5" s="1" a="1"/>
  <c r="U35" i="5" s="1"/>
  <c r="B15" i="8"/>
  <c r="B22" i="8"/>
  <c r="T60" i="5"/>
  <c r="U60" i="5" s="1" a="1"/>
  <c r="U60" i="5" s="1"/>
  <c r="T93" i="5"/>
  <c r="T47" i="5"/>
  <c r="U47" i="5" s="1" a="1"/>
  <c r="U47" i="5" s="1"/>
  <c r="B92" i="8"/>
  <c r="T68" i="5"/>
  <c r="U68" i="5" s="1" a="1"/>
  <c r="U68" i="5" s="1"/>
  <c r="T30" i="5"/>
  <c r="U30" i="5" s="1" a="1"/>
  <c r="U30" i="5" s="1"/>
  <c r="T63" i="5"/>
  <c r="U63" i="5" s="1" a="1"/>
  <c r="U63" i="5" s="1"/>
  <c r="T62" i="5"/>
  <c r="U62" i="5" s="1" a="1"/>
  <c r="U62" i="5" s="1"/>
  <c r="B86" i="8"/>
  <c r="B88" i="8"/>
  <c r="T76" i="5"/>
  <c r="T3" i="5"/>
  <c r="U3" i="5" s="1" a="1"/>
  <c r="U3" i="5" s="1"/>
  <c r="T79" i="5"/>
  <c r="U79" i="5" s="1" a="1"/>
  <c r="U79" i="5" s="1"/>
  <c r="T96" i="5"/>
  <c r="U96" i="5" s="1" a="1"/>
  <c r="U96" i="5" s="1"/>
  <c r="B96" i="8" s="1"/>
  <c r="T24" i="5"/>
  <c r="T15" i="4"/>
  <c r="P15" i="4" s="1"/>
  <c r="D15" i="4" s="1"/>
  <c r="E15" i="4" a="1"/>
  <c r="E15" i="4" s="1"/>
  <c r="F15" i="4" s="1" a="1"/>
  <c r="F15" i="4" s="1"/>
  <c r="C11" i="4"/>
  <c r="E11" i="4" s="1" a="1"/>
  <c r="E11" i="4" s="1"/>
  <c r="F11" i="4" s="1" a="1"/>
  <c r="F11" i="4" s="1"/>
  <c r="C7" i="4"/>
  <c r="T7" i="4" s="1"/>
  <c r="P7" i="4" s="1"/>
  <c r="D7" i="4" s="1"/>
  <c r="C21" i="4"/>
  <c r="C8" i="4"/>
  <c r="E8" i="4" s="1" a="1"/>
  <c r="E8" i="4" s="1"/>
  <c r="F8" i="4" s="1" a="1"/>
  <c r="F8" i="4" s="1"/>
  <c r="C9" i="4"/>
  <c r="E9" i="4" s="1" a="1"/>
  <c r="E9" i="4" s="1"/>
  <c r="F9" i="4" s="1" a="1"/>
  <c r="F9" i="4" s="1"/>
  <c r="C18" i="4"/>
  <c r="E18" i="4" s="1" a="1"/>
  <c r="E18" i="4" s="1"/>
  <c r="F18" i="4" s="1" a="1"/>
  <c r="F18" i="4" s="1"/>
  <c r="C3" i="4"/>
  <c r="E3" i="4" s="1" a="1"/>
  <c r="E3" i="4" s="1"/>
  <c r="F3" i="4" s="1" a="1"/>
  <c r="F3" i="4" s="1"/>
  <c r="C12" i="4"/>
  <c r="C20" i="4"/>
  <c r="C5" i="4"/>
  <c r="E5" i="4" s="1" a="1"/>
  <c r="E5" i="4" s="1"/>
  <c r="F5" i="4" s="1" a="1"/>
  <c r="F5" i="4" s="1"/>
  <c r="C13" i="4"/>
  <c r="C19" i="4"/>
  <c r="K6" i="8"/>
  <c r="K9" i="8"/>
  <c r="K3" i="8"/>
  <c r="K19" i="8"/>
  <c r="K16" i="8"/>
  <c r="K13" i="8"/>
  <c r="K8" i="8"/>
  <c r="K15" i="8"/>
  <c r="K12" i="8"/>
  <c r="D17" i="6"/>
  <c r="E17" i="6" s="1" a="1"/>
  <c r="E17" i="6" s="1"/>
  <c r="D10" i="6"/>
  <c r="E10" i="6" s="1" a="1"/>
  <c r="E10" i="6" s="1"/>
  <c r="D18" i="6"/>
  <c r="E18" i="6" s="1" a="1"/>
  <c r="E18" i="6" s="1"/>
  <c r="D7" i="6"/>
  <c r="E7" i="6" s="1" a="1"/>
  <c r="E7" i="6" s="1"/>
  <c r="D4" i="6"/>
  <c r="E4" i="6" s="1" a="1"/>
  <c r="E4" i="6" s="1"/>
  <c r="D20" i="6"/>
  <c r="E20" i="6" s="1" a="1"/>
  <c r="E20" i="6" s="1"/>
  <c r="D5" i="6"/>
  <c r="E5" i="6" s="1" a="1"/>
  <c r="E5" i="6" s="1"/>
  <c r="D14" i="6"/>
  <c r="E14" i="6" s="1" a="1"/>
  <c r="E14" i="6" s="1"/>
  <c r="D21" i="6"/>
  <c r="E21" i="6" s="1" a="1"/>
  <c r="E21" i="6" s="1"/>
  <c r="D11" i="6"/>
  <c r="E11" i="6" s="1" a="1"/>
  <c r="E11" i="6" s="1"/>
  <c r="D2" i="6"/>
  <c r="H19" i="8"/>
  <c r="H5" i="8"/>
  <c r="H14" i="8"/>
  <c r="H7" i="8"/>
  <c r="H12" i="8"/>
  <c r="H21" i="8"/>
  <c r="H16" i="8"/>
  <c r="H9" i="8"/>
  <c r="H11" i="8"/>
  <c r="H4" i="8"/>
  <c r="H20" i="8"/>
  <c r="H13" i="8"/>
  <c r="E18" i="3"/>
  <c r="H18" i="8" s="1"/>
  <c r="H6" i="8"/>
  <c r="H17" i="8"/>
  <c r="H10" i="8"/>
  <c r="H15" i="8"/>
  <c r="H3" i="8"/>
  <c r="H8" i="8"/>
  <c r="H2" i="8"/>
  <c r="B72" i="8"/>
  <c r="B74" i="8"/>
  <c r="B84" i="8"/>
  <c r="B55" i="8"/>
  <c r="B80" i="8"/>
  <c r="B82" i="8"/>
  <c r="B27" i="8"/>
  <c r="B38" i="8"/>
  <c r="B71" i="8"/>
  <c r="B18" i="8"/>
  <c r="B37" i="8"/>
  <c r="B54" i="8"/>
  <c r="B8" i="8"/>
  <c r="B11" i="8"/>
  <c r="B57" i="8"/>
  <c r="B59" i="8"/>
  <c r="B91" i="8"/>
  <c r="B7" i="8"/>
  <c r="B31" i="8"/>
  <c r="B4" i="8"/>
  <c r="B21" i="8"/>
  <c r="B69" i="8"/>
  <c r="B40" i="8"/>
  <c r="B42" i="8"/>
  <c r="B25" i="8"/>
  <c r="B28" i="8"/>
  <c r="B56" i="8"/>
  <c r="B58" i="8"/>
  <c r="B39" i="8"/>
  <c r="R21" i="2" a="1"/>
  <c r="R21" i="2" s="1"/>
  <c r="P21" i="2" a="1"/>
  <c r="P21" i="2" s="1"/>
  <c r="N21" i="2" a="1"/>
  <c r="N21" i="2" s="1"/>
  <c r="K21" i="4"/>
  <c r="L21" i="4" s="1" a="1"/>
  <c r="L21" i="4" s="1"/>
  <c r="K63" i="5"/>
  <c r="P63" i="5"/>
  <c r="I63" i="5"/>
  <c r="O63" i="5"/>
  <c r="K95" i="5"/>
  <c r="Q95" i="5"/>
  <c r="J95" i="5"/>
  <c r="I95" i="5"/>
  <c r="O95" i="5"/>
  <c r="L95" i="5"/>
  <c r="H95" i="5"/>
  <c r="P95" i="5"/>
  <c r="S95" i="5"/>
  <c r="N95" i="5"/>
  <c r="S63" i="5"/>
  <c r="Q63" i="5"/>
  <c r="J63" i="5"/>
  <c r="K79" i="5"/>
  <c r="J79" i="5"/>
  <c r="S47" i="5"/>
  <c r="I79" i="5"/>
  <c r="G79" i="5"/>
  <c r="Q79" i="5"/>
  <c r="K47" i="5"/>
  <c r="L63" i="5"/>
  <c r="G63" i="5"/>
  <c r="P47" i="5"/>
  <c r="R79" i="5"/>
  <c r="S79" i="5"/>
  <c r="P79" i="5"/>
  <c r="H47" i="5"/>
  <c r="R47" i="5"/>
  <c r="O47" i="5"/>
  <c r="H63" i="5"/>
  <c r="J47" i="5"/>
  <c r="N63" i="5"/>
  <c r="O79" i="5"/>
  <c r="N79" i="5"/>
  <c r="K101" i="5"/>
  <c r="Q101" i="5"/>
  <c r="Q47" i="5"/>
  <c r="L47" i="5"/>
  <c r="G101" i="5"/>
  <c r="P101" i="5"/>
  <c r="N47" i="5"/>
  <c r="H79" i="5"/>
  <c r="O101" i="5"/>
  <c r="J101" i="5"/>
  <c r="G47" i="5"/>
  <c r="M101" i="5"/>
  <c r="S101" i="5"/>
  <c r="L101" i="5"/>
  <c r="H101" i="5"/>
  <c r="I101" i="5"/>
  <c r="N101" i="5"/>
  <c r="L79" i="5"/>
  <c r="I47" i="5"/>
  <c r="R63" i="5"/>
  <c r="R95" i="5"/>
  <c r="G95" i="5"/>
  <c r="N7" i="1" a="1"/>
  <c r="N7" i="1" s="1"/>
  <c r="R17" i="2" a="1"/>
  <c r="R17" i="2" s="1"/>
  <c r="R6" i="2" a="1"/>
  <c r="R6" i="2" s="1"/>
  <c r="R12" i="2" a="1"/>
  <c r="R12" i="2" s="1"/>
  <c r="N15" i="2" a="1"/>
  <c r="N15" i="2" s="1"/>
  <c r="R18" i="2" a="1"/>
  <c r="R18" i="2" s="1"/>
  <c r="N10" i="2" a="1"/>
  <c r="N10" i="2" s="1"/>
  <c r="N5" i="2" a="1"/>
  <c r="N5" i="2" s="1"/>
  <c r="R20" i="2" a="1"/>
  <c r="R20" i="2" s="1"/>
  <c r="R13" i="2" a="1"/>
  <c r="R13" i="2" s="1"/>
  <c r="P7" i="2" a="1"/>
  <c r="P7" i="2" s="1"/>
  <c r="P14" i="2" a="1"/>
  <c r="P14" i="2" s="1"/>
  <c r="N14" i="2" a="1"/>
  <c r="N14" i="2" s="1"/>
  <c r="S12" i="5"/>
  <c r="S3" i="5"/>
  <c r="S19" i="5"/>
  <c r="S16" i="5"/>
  <c r="R3" i="5"/>
  <c r="O14" i="5"/>
  <c r="R14" i="5"/>
  <c r="P34" i="5"/>
  <c r="R34" i="5"/>
  <c r="R19" i="5"/>
  <c r="R12" i="5"/>
  <c r="R16" i="5"/>
  <c r="Q34" i="5"/>
  <c r="Q16" i="5"/>
  <c r="Q3" i="5"/>
  <c r="Q19" i="5"/>
  <c r="Q12" i="5"/>
  <c r="Q14" i="5"/>
  <c r="P16" i="5"/>
  <c r="P12" i="5"/>
  <c r="P14" i="5"/>
  <c r="P3" i="5"/>
  <c r="P19" i="5"/>
  <c r="O16" i="5"/>
  <c r="O3" i="5"/>
  <c r="N34" i="5"/>
  <c r="O34" i="5"/>
  <c r="O19" i="5"/>
  <c r="O12" i="5"/>
  <c r="M14" i="5"/>
  <c r="N14" i="5"/>
  <c r="N12" i="5"/>
  <c r="N3" i="5"/>
  <c r="N19" i="5"/>
  <c r="K34" i="5"/>
  <c r="L34" i="5"/>
  <c r="M16" i="5"/>
  <c r="L16" i="5"/>
  <c r="K16" i="5"/>
  <c r="L12" i="5"/>
  <c r="L14" i="5"/>
  <c r="H19" i="5"/>
  <c r="K19" i="5"/>
  <c r="M3" i="5"/>
  <c r="K3" i="5"/>
  <c r="K12" i="5"/>
  <c r="K14" i="5"/>
  <c r="J12" i="5"/>
  <c r="I34" i="5"/>
  <c r="J34" i="5"/>
  <c r="J14" i="5"/>
  <c r="J16" i="5"/>
  <c r="J3" i="5"/>
  <c r="J19" i="5"/>
  <c r="G12" i="5"/>
  <c r="I3" i="5"/>
  <c r="I19" i="5"/>
  <c r="I12" i="5"/>
  <c r="G34" i="5"/>
  <c r="H12" i="5"/>
  <c r="I14" i="5"/>
  <c r="I16" i="5"/>
  <c r="H16" i="5"/>
  <c r="H3" i="5"/>
  <c r="M34" i="5"/>
  <c r="H34" i="5"/>
  <c r="H14" i="5"/>
  <c r="G16" i="5"/>
  <c r="G14" i="5"/>
  <c r="M19" i="5"/>
  <c r="G19" i="5"/>
  <c r="G3" i="5"/>
  <c r="R3" i="2" a="1"/>
  <c r="R3" i="2" s="1"/>
  <c r="F2" i="5"/>
  <c r="R16" i="2" a="1"/>
  <c r="R16" i="2" s="1"/>
  <c r="P13" i="2" a="1"/>
  <c r="P13" i="2" s="1"/>
  <c r="P6" i="2" a="1"/>
  <c r="P6" i="2" s="1"/>
  <c r="P18" i="2" a="1"/>
  <c r="P18" i="2" s="1"/>
  <c r="N6" i="2" a="1"/>
  <c r="N6" i="2" s="1"/>
  <c r="R8" i="2" a="1"/>
  <c r="R8" i="2" s="1"/>
  <c r="P8" i="2" a="1"/>
  <c r="P8" i="2" s="1"/>
  <c r="N16" i="2" a="1"/>
  <c r="N16" i="2" s="1"/>
  <c r="P3" i="2" a="1"/>
  <c r="P3" i="2" s="1"/>
  <c r="R11" i="2" a="1"/>
  <c r="R11" i="2" s="1"/>
  <c r="P11" i="2" a="1"/>
  <c r="P11" i="2" s="1"/>
  <c r="P2" i="2" a="1"/>
  <c r="P2" i="2" s="1"/>
  <c r="K4" i="4"/>
  <c r="L4" i="4" s="1" a="1"/>
  <c r="L4" i="4" s="1"/>
  <c r="T17" i="4"/>
  <c r="P17" i="4" s="1"/>
  <c r="D17" i="4" s="1"/>
  <c r="T6" i="4"/>
  <c r="P6" i="4" s="1"/>
  <c r="D6" i="4" s="1"/>
  <c r="T14" i="4"/>
  <c r="P14" i="4" s="1"/>
  <c r="D14" i="4" s="1"/>
  <c r="T4" i="4"/>
  <c r="P4" i="4" s="1"/>
  <c r="D4" i="4" s="1"/>
  <c r="T10" i="4"/>
  <c r="P10" i="4" s="1"/>
  <c r="D10" i="4" s="1"/>
  <c r="U6" i="4"/>
  <c r="U9" i="4"/>
  <c r="U18" i="4"/>
  <c r="U16" i="4"/>
  <c r="U4" i="4"/>
  <c r="U8" i="4"/>
  <c r="U12" i="4"/>
  <c r="T16" i="4"/>
  <c r="P16" i="4" s="1"/>
  <c r="D16" i="4" s="1"/>
  <c r="N16" i="8" s="1"/>
  <c r="U2" i="4"/>
  <c r="K2" i="4"/>
  <c r="L2" i="4" s="1" a="1"/>
  <c r="L2" i="4" s="1"/>
  <c r="T2" i="4"/>
  <c r="P2" i="4" s="1"/>
  <c r="D2" i="4" s="1"/>
  <c r="R9" i="2" a="1"/>
  <c r="R9" i="2" s="1"/>
  <c r="N9" i="2" a="1"/>
  <c r="N9" i="2" s="1"/>
  <c r="P12" i="2" a="1"/>
  <c r="P12" i="2" s="1"/>
  <c r="N12" i="2" a="1"/>
  <c r="N12" i="2" s="1"/>
  <c r="N17" i="2" a="1"/>
  <c r="N17" i="2" s="1"/>
  <c r="N20" i="2" a="1"/>
  <c r="N20" i="2" s="1"/>
  <c r="R14" i="2" a="1"/>
  <c r="R14" i="2" s="1"/>
  <c r="R19" i="2" a="1"/>
  <c r="R19" i="2" s="1"/>
  <c r="R4" i="2" a="1"/>
  <c r="R4" i="2" s="1"/>
  <c r="R10" i="2" a="1"/>
  <c r="R10" i="2" s="1"/>
  <c r="P4" i="2" a="1"/>
  <c r="P4" i="2" s="1"/>
  <c r="R15" i="2" a="1"/>
  <c r="R15" i="2" s="1"/>
  <c r="R5" i="2" a="1"/>
  <c r="R5" i="2" s="1"/>
  <c r="R7" i="2" a="1"/>
  <c r="R7" i="2" s="1"/>
  <c r="P20" i="2" a="1"/>
  <c r="P20" i="2" s="1"/>
  <c r="P16" i="2" a="1"/>
  <c r="P16" i="2" s="1"/>
  <c r="N18" i="2" a="1"/>
  <c r="N18" i="2" s="1"/>
  <c r="R2" i="2" a="1"/>
  <c r="R2" i="2" s="1"/>
  <c r="AD7" i="1"/>
  <c r="AV11" i="1"/>
  <c r="L8" i="1"/>
  <c r="K8" i="1" s="1" a="1"/>
  <c r="K8" i="1" s="1"/>
  <c r="L7" i="1"/>
  <c r="K7" i="1" s="1" a="1"/>
  <c r="K7" i="1" s="1"/>
  <c r="AP10" i="1"/>
  <c r="D7" i="1" s="1"/>
  <c r="I14" i="2"/>
  <c r="I6" i="2"/>
  <c r="O8" i="1"/>
  <c r="I11" i="2"/>
  <c r="I15" i="2"/>
  <c r="I12" i="2"/>
  <c r="I17" i="2"/>
  <c r="I9" i="2"/>
  <c r="I10" i="2"/>
  <c r="G14" i="2"/>
  <c r="G15" i="2"/>
  <c r="I8" i="2"/>
  <c r="I19" i="2"/>
  <c r="I5" i="2"/>
  <c r="I3" i="2"/>
  <c r="G11" i="2"/>
  <c r="I21" i="2"/>
  <c r="G21" i="2"/>
  <c r="G6" i="2"/>
  <c r="I13" i="2"/>
  <c r="G2" i="2"/>
  <c r="G13" i="2"/>
  <c r="G8" i="2"/>
  <c r="G12" i="2"/>
  <c r="I18" i="2"/>
  <c r="I2" i="2"/>
  <c r="G3" i="2"/>
  <c r="I4" i="2"/>
  <c r="E6" i="2"/>
  <c r="E21" i="2"/>
  <c r="E9" i="2"/>
  <c r="E15" i="2"/>
  <c r="G10" i="2"/>
  <c r="E14" i="2"/>
  <c r="G18" i="2"/>
  <c r="G20" i="2"/>
  <c r="E16" i="2"/>
  <c r="G7" i="2"/>
  <c r="E5" i="2"/>
  <c r="I16" i="2"/>
  <c r="E12" i="2"/>
  <c r="G4" i="2"/>
  <c r="G16" i="2"/>
  <c r="I20" i="2"/>
  <c r="E17" i="2"/>
  <c r="E20" i="2"/>
  <c r="I7" i="2"/>
  <c r="E18" i="2"/>
  <c r="E10" i="2"/>
  <c r="B30" i="8" l="1"/>
  <c r="B99" i="8"/>
  <c r="B62" i="8"/>
  <c r="T8" i="4"/>
  <c r="P8" i="4" s="1"/>
  <c r="D8" i="4" s="1"/>
  <c r="N8" i="8" s="1"/>
  <c r="T9" i="4"/>
  <c r="P9" i="4" s="1"/>
  <c r="D9" i="4" s="1"/>
  <c r="N9" i="8" s="1"/>
  <c r="B78" i="8"/>
  <c r="B53" i="8"/>
  <c r="B26" i="8"/>
  <c r="U23" i="5" a="1"/>
  <c r="U23" i="5" s="1"/>
  <c r="B23" i="8" s="1"/>
  <c r="U45" i="5" a="1"/>
  <c r="U45" i="5" s="1"/>
  <c r="B45" i="8" s="1"/>
  <c r="U44" i="5" a="1"/>
  <c r="U44" i="5" s="1"/>
  <c r="B44" i="8" s="1"/>
  <c r="B35" i="8"/>
  <c r="U36" i="5" a="1"/>
  <c r="U36" i="5" s="1"/>
  <c r="B36" i="8" s="1"/>
  <c r="U93" i="5" a="1"/>
  <c r="U93" i="5" s="1"/>
  <c r="B93" i="8" s="1"/>
  <c r="U24" i="5" a="1"/>
  <c r="U24" i="5" s="1"/>
  <c r="B24" i="8" s="1"/>
  <c r="B73" i="8"/>
  <c r="U32" i="5" a="1"/>
  <c r="U32" i="5" s="1"/>
  <c r="B32" i="8" s="1"/>
  <c r="U87" i="5" a="1"/>
  <c r="U87" i="5" s="1"/>
  <c r="B87" i="8" s="1"/>
  <c r="U85" i="5" a="1"/>
  <c r="U85" i="5" s="1"/>
  <c r="B85" i="8" s="1"/>
  <c r="U61" i="5" a="1"/>
  <c r="U61" i="5" s="1"/>
  <c r="B61" i="8" s="1"/>
  <c r="B70" i="8"/>
  <c r="U76" i="5" a="1"/>
  <c r="U76" i="5" s="1"/>
  <c r="B76" i="8" s="1"/>
  <c r="U52" i="5" a="1"/>
  <c r="U52" i="5" s="1"/>
  <c r="B52" i="8" s="1"/>
  <c r="U90" i="5" a="1"/>
  <c r="U90" i="5" s="1"/>
  <c r="B90" i="8" s="1"/>
  <c r="U29" i="5" a="1"/>
  <c r="U29" i="5" s="1"/>
  <c r="B29" i="8" s="1"/>
  <c r="B68" i="8"/>
  <c r="U6" i="5" a="1"/>
  <c r="U6" i="5" s="1"/>
  <c r="B6" i="8" s="1"/>
  <c r="B98" i="8"/>
  <c r="B48" i="8"/>
  <c r="B77" i="8"/>
  <c r="B50" i="8"/>
  <c r="B94" i="8"/>
  <c r="B89" i="8"/>
  <c r="B5" i="8"/>
  <c r="B60" i="8"/>
  <c r="T5" i="4"/>
  <c r="P5" i="4" s="1"/>
  <c r="D5" i="4" s="1"/>
  <c r="N5" i="8" s="1"/>
  <c r="T18" i="4"/>
  <c r="P18" i="4" s="1"/>
  <c r="D18" i="4" s="1"/>
  <c r="N18" i="8" s="1"/>
  <c r="E19" i="4" a="1"/>
  <c r="E19" i="4" s="1"/>
  <c r="F19" i="4" s="1" a="1"/>
  <c r="F19" i="4" s="1"/>
  <c r="E13" i="4" a="1"/>
  <c r="E13" i="4" s="1"/>
  <c r="F13" i="4" s="1" a="1"/>
  <c r="F13" i="4" s="1"/>
  <c r="T3" i="4"/>
  <c r="P3" i="4" s="1"/>
  <c r="D3" i="4" s="1"/>
  <c r="N3" i="8" s="1"/>
  <c r="E20" i="4" a="1"/>
  <c r="E20" i="4" s="1"/>
  <c r="F20" i="4" s="1" a="1"/>
  <c r="F20" i="4" s="1"/>
  <c r="E12" i="4" a="1"/>
  <c r="E12" i="4" s="1"/>
  <c r="F12" i="4" s="1" a="1"/>
  <c r="F12" i="4" s="1"/>
  <c r="T11" i="4"/>
  <c r="P11" i="4" s="1"/>
  <c r="D11" i="4" s="1"/>
  <c r="N11" i="8" s="1"/>
  <c r="E21" i="4" a="1"/>
  <c r="E21" i="4" s="1"/>
  <c r="F21" i="4" s="1" a="1"/>
  <c r="F21" i="4" s="1"/>
  <c r="E7" i="4" a="1"/>
  <c r="E7" i="4" s="1"/>
  <c r="F7" i="4" s="1" a="1"/>
  <c r="F7" i="4" s="1"/>
  <c r="T20" i="4"/>
  <c r="P20" i="4" s="1"/>
  <c r="D20" i="4" s="1"/>
  <c r="N6" i="8"/>
  <c r="N14" i="8"/>
  <c r="N17" i="8"/>
  <c r="T13" i="4"/>
  <c r="P13" i="4" s="1"/>
  <c r="D13" i="4" s="1"/>
  <c r="T21" i="4"/>
  <c r="P21" i="4" s="1"/>
  <c r="D21" i="4" s="1"/>
  <c r="T19" i="4"/>
  <c r="P19" i="4" s="1"/>
  <c r="D19" i="4" s="1"/>
  <c r="N10" i="8"/>
  <c r="T12" i="4"/>
  <c r="P12" i="4" s="1"/>
  <c r="D12" i="4" s="1"/>
  <c r="N2" i="8"/>
  <c r="N4" i="8"/>
  <c r="N15" i="8"/>
  <c r="K18" i="8"/>
  <c r="K14" i="8"/>
  <c r="K21" i="8"/>
  <c r="K17" i="8"/>
  <c r="K11" i="8"/>
  <c r="K20" i="8"/>
  <c r="K4" i="8"/>
  <c r="K7" i="8"/>
  <c r="K10" i="8"/>
  <c r="K5" i="8"/>
  <c r="E2" i="6" a="1"/>
  <c r="E2" i="6" s="1"/>
  <c r="K2" i="8" s="1"/>
  <c r="E14" i="8"/>
  <c r="E8" i="8"/>
  <c r="E18" i="8"/>
  <c r="E4" i="8"/>
  <c r="E10" i="8"/>
  <c r="E9" i="8"/>
  <c r="E15" i="8"/>
  <c r="E16" i="8"/>
  <c r="E20" i="8"/>
  <c r="E17" i="8"/>
  <c r="E5" i="8"/>
  <c r="E21" i="8"/>
  <c r="E6" i="8"/>
  <c r="E12" i="8"/>
  <c r="E19" i="8"/>
  <c r="E7" i="8"/>
  <c r="E11" i="8"/>
  <c r="E3" i="8"/>
  <c r="E13" i="8"/>
  <c r="E2" i="8"/>
  <c r="B95" i="8"/>
  <c r="B34" i="8"/>
  <c r="B63" i="8"/>
  <c r="B81" i="8"/>
  <c r="B14" i="8"/>
  <c r="B75" i="8"/>
  <c r="B79" i="8"/>
  <c r="B3" i="8"/>
  <c r="B101" i="8"/>
  <c r="B12" i="8"/>
  <c r="B19" i="8"/>
  <c r="B16" i="8"/>
  <c r="B65" i="8"/>
  <c r="B17" i="8"/>
  <c r="B49" i="8"/>
  <c r="B2" i="8"/>
  <c r="B51" i="8"/>
  <c r="B43" i="8"/>
  <c r="B41" i="8"/>
  <c r="B67" i="8"/>
  <c r="B47" i="8"/>
  <c r="B83" i="8"/>
  <c r="B97" i="8"/>
  <c r="B46" i="8"/>
  <c r="B33" i="8"/>
  <c r="N8" i="1" a="1"/>
  <c r="N8" i="1" s="1"/>
  <c r="U3" i="4"/>
  <c r="U19" i="4"/>
  <c r="U13" i="4"/>
  <c r="U11" i="4"/>
  <c r="U5" i="4"/>
  <c r="U17" i="4"/>
  <c r="U15" i="4"/>
  <c r="U14" i="4"/>
  <c r="U20" i="4"/>
  <c r="U10" i="4"/>
  <c r="U7" i="4"/>
  <c r="AD8" i="1"/>
  <c r="N31" i="1"/>
  <c r="AV12" i="1"/>
  <c r="L9" i="1"/>
  <c r="K9" i="1" s="1" a="1"/>
  <c r="K9" i="1" s="1"/>
  <c r="H7" i="1"/>
  <c r="AP11" i="1"/>
  <c r="D8" i="1" s="1"/>
  <c r="O9" i="1"/>
  <c r="N21" i="8" l="1"/>
  <c r="N19" i="8"/>
  <c r="N13" i="8"/>
  <c r="N20" i="8"/>
  <c r="N12" i="8"/>
  <c r="N7" i="8"/>
  <c r="N9" i="1" a="1"/>
  <c r="N9" i="1" s="1"/>
  <c r="P9" i="1" s="1" a="1"/>
  <c r="P9" i="1" s="1"/>
  <c r="AD9" i="1"/>
  <c r="AV13" i="1"/>
  <c r="L10" i="1"/>
  <c r="K10" i="1" s="1" a="1"/>
  <c r="K10" i="1" s="1"/>
  <c r="G7" i="1" a="1"/>
  <c r="G7" i="1" s="1"/>
  <c r="AJ10" i="1" s="1"/>
  <c r="F7" i="1" a="1"/>
  <c r="F7" i="1" s="1"/>
  <c r="AI10" i="1" s="1"/>
  <c r="I7" i="1"/>
  <c r="AP12" i="1"/>
  <c r="D9" i="1" s="1"/>
  <c r="O10" i="1"/>
  <c r="P28" i="1" l="1" a="1"/>
  <c r="P28" i="1" s="1"/>
  <c r="P8" i="1" a="1"/>
  <c r="P8" i="1" s="1"/>
  <c r="P29" i="1" a="1"/>
  <c r="P29" i="1" s="1"/>
  <c r="P26" i="1" a="1"/>
  <c r="P26" i="1" s="1"/>
  <c r="P7" i="1" a="1"/>
  <c r="P7" i="1" s="1"/>
  <c r="P27" i="1" a="1"/>
  <c r="P27" i="1" s="1"/>
  <c r="P31" i="1" a="1"/>
  <c r="P31" i="1" s="1"/>
  <c r="P30" i="1" a="1"/>
  <c r="P30" i="1" s="1"/>
  <c r="N10" i="1" a="1"/>
  <c r="N10" i="1" s="1"/>
  <c r="P10" i="1" s="1" a="1"/>
  <c r="P10" i="1" s="1"/>
  <c r="AD10" i="1"/>
  <c r="AV14" i="1"/>
  <c r="L11" i="1"/>
  <c r="K11" i="1" s="1" a="1"/>
  <c r="K11" i="1" s="1"/>
  <c r="H8" i="1"/>
  <c r="I8" i="1"/>
  <c r="F8" i="1" a="1"/>
  <c r="F8" i="1" s="1"/>
  <c r="AI11" i="1" s="1"/>
  <c r="G8" i="1" a="1"/>
  <c r="G8" i="1" s="1"/>
  <c r="AJ11" i="1" s="1"/>
  <c r="E7" i="1" a="1"/>
  <c r="E7" i="1" s="1"/>
  <c r="AP13" i="1"/>
  <c r="D10" i="1" s="1"/>
  <c r="O11" i="1"/>
  <c r="N11" i="1" l="1" a="1"/>
  <c r="N11" i="1" s="1"/>
  <c r="P11" i="1" s="1" a="1"/>
  <c r="P11" i="1" s="1"/>
  <c r="AD11" i="1"/>
  <c r="E8" i="1" a="1"/>
  <c r="E8" i="1" s="1"/>
  <c r="AV15" i="1"/>
  <c r="L12" i="1"/>
  <c r="K12" i="1" s="1" a="1"/>
  <c r="K12" i="1" s="1"/>
  <c r="H9" i="1"/>
  <c r="I9" i="1"/>
  <c r="F9" i="1" a="1"/>
  <c r="F9" i="1" s="1"/>
  <c r="AI12" i="1" s="1"/>
  <c r="G9" i="1" a="1"/>
  <c r="G9" i="1" s="1"/>
  <c r="AJ12" i="1" s="1"/>
  <c r="AP14" i="1"/>
  <c r="D11" i="1" s="1"/>
  <c r="O12" i="1"/>
  <c r="N12" i="1" l="1" a="1"/>
  <c r="N12" i="1" s="1"/>
  <c r="P12" i="1" s="1" a="1"/>
  <c r="P12" i="1" s="1"/>
  <c r="AD12" i="1"/>
  <c r="O13" i="1" s="1"/>
  <c r="AV16" i="1"/>
  <c r="L13" i="1"/>
  <c r="K13" i="1" s="1" a="1"/>
  <c r="K13" i="1" s="1"/>
  <c r="H10" i="1"/>
  <c r="I10" i="1"/>
  <c r="F10" i="1" a="1"/>
  <c r="F10" i="1" s="1"/>
  <c r="AI13" i="1" s="1"/>
  <c r="G10" i="1" a="1"/>
  <c r="G10" i="1" s="1"/>
  <c r="AJ13" i="1" s="1"/>
  <c r="E9" i="1" a="1"/>
  <c r="E9" i="1" s="1"/>
  <c r="AP15" i="1"/>
  <c r="D12" i="1" s="1"/>
  <c r="N13" i="1" l="1" a="1"/>
  <c r="N13" i="1" s="1"/>
  <c r="P13" i="1" s="1" a="1"/>
  <c r="P13" i="1" s="1"/>
  <c r="AD13" i="1"/>
  <c r="O14" i="1" s="1"/>
  <c r="E10" i="1" a="1"/>
  <c r="E10" i="1" s="1"/>
  <c r="AV17" i="1"/>
  <c r="L14" i="1"/>
  <c r="K14" i="1" s="1" a="1"/>
  <c r="K14" i="1" s="1"/>
  <c r="H11" i="1"/>
  <c r="I11" i="1"/>
  <c r="F11" i="1" a="1"/>
  <c r="F11" i="1" s="1"/>
  <c r="AI14" i="1" s="1"/>
  <c r="G11" i="1" a="1"/>
  <c r="G11" i="1" s="1"/>
  <c r="AJ14" i="1" s="1"/>
  <c r="AP16" i="1"/>
  <c r="D13" i="1" s="1"/>
  <c r="N14" i="1" l="1" a="1"/>
  <c r="N14" i="1" s="1"/>
  <c r="P14" i="1" s="1" a="1"/>
  <c r="P14" i="1" s="1"/>
  <c r="AD14" i="1"/>
  <c r="O15" i="1" s="1"/>
  <c r="AV18" i="1"/>
  <c r="L15" i="1"/>
  <c r="K15" i="1" s="1" a="1"/>
  <c r="K15" i="1" s="1"/>
  <c r="H12" i="1"/>
  <c r="I12" i="1"/>
  <c r="F12" i="1" a="1"/>
  <c r="F12" i="1" s="1"/>
  <c r="AI15" i="1" s="1"/>
  <c r="G12" i="1" a="1"/>
  <c r="G12" i="1" s="1"/>
  <c r="AJ15" i="1" s="1"/>
  <c r="E11" i="1" a="1"/>
  <c r="E11" i="1" s="1"/>
  <c r="AP17" i="1"/>
  <c r="D14" i="1" s="1"/>
  <c r="N15" i="1" l="1" a="1"/>
  <c r="N15" i="1" s="1"/>
  <c r="P15" i="1" s="1" a="1"/>
  <c r="P15" i="1" s="1"/>
  <c r="AD15" i="1"/>
  <c r="O16" i="1" s="1"/>
  <c r="AV19" i="1"/>
  <c r="L16" i="1"/>
  <c r="K16" i="1" s="1" a="1"/>
  <c r="K16" i="1" s="1"/>
  <c r="E12" i="1" a="1"/>
  <c r="E12" i="1" s="1"/>
  <c r="H13" i="1"/>
  <c r="I13" i="1"/>
  <c r="F13" i="1" a="1"/>
  <c r="F13" i="1" s="1"/>
  <c r="AI16" i="1" s="1"/>
  <c r="G13" i="1" a="1"/>
  <c r="G13" i="1" s="1"/>
  <c r="AJ16" i="1" s="1"/>
  <c r="AP18" i="1"/>
  <c r="N16" i="1" l="1" a="1"/>
  <c r="N16" i="1" s="1"/>
  <c r="P16" i="1" s="1" a="1"/>
  <c r="P16" i="1" s="1"/>
  <c r="AD16" i="1"/>
  <c r="O17" i="1" s="1"/>
  <c r="AP19" i="1"/>
  <c r="D16" i="1" s="1"/>
  <c r="G16" i="1" s="1" a="1"/>
  <c r="G16" i="1" s="1"/>
  <c r="AJ19" i="1" s="1"/>
  <c r="D15" i="1"/>
  <c r="E13" i="1" a="1"/>
  <c r="E13" i="1" s="1"/>
  <c r="AV20" i="1"/>
  <c r="L17" i="1"/>
  <c r="K17" i="1" s="1" a="1"/>
  <c r="K17" i="1" s="1"/>
  <c r="H14" i="1"/>
  <c r="I14" i="1"/>
  <c r="F14" i="1" a="1"/>
  <c r="F14" i="1" s="1"/>
  <c r="AI17" i="1" s="1"/>
  <c r="G14" i="1" a="1"/>
  <c r="G14" i="1" s="1"/>
  <c r="AJ17" i="1" s="1"/>
  <c r="N17" i="1" l="1" a="1"/>
  <c r="N17" i="1" s="1"/>
  <c r="P17" i="1" s="1" a="1"/>
  <c r="P17" i="1" s="1"/>
  <c r="AD17" i="1"/>
  <c r="O18" i="1" s="1"/>
  <c r="F16" i="1" a="1"/>
  <c r="F16" i="1" s="1"/>
  <c r="AI19" i="1" s="1"/>
  <c r="E16" i="1" s="1" a="1"/>
  <c r="E16" i="1" s="1"/>
  <c r="H16" i="1"/>
  <c r="AP20" i="1"/>
  <c r="D17" i="1" s="1"/>
  <c r="F17" i="1" s="1" a="1"/>
  <c r="F17" i="1" s="1"/>
  <c r="AI20" i="1" s="1"/>
  <c r="I16" i="1"/>
  <c r="AV21" i="1"/>
  <c r="L18" i="1"/>
  <c r="K18" i="1" s="1" a="1"/>
  <c r="K18" i="1" s="1"/>
  <c r="E14" i="1" a="1"/>
  <c r="E14" i="1" s="1"/>
  <c r="H15" i="1"/>
  <c r="I15" i="1"/>
  <c r="F15" i="1" a="1"/>
  <c r="F15" i="1" s="1"/>
  <c r="AI18" i="1" s="1"/>
  <c r="G15" i="1" a="1"/>
  <c r="G15" i="1" s="1"/>
  <c r="AJ18" i="1" s="1"/>
  <c r="N18" i="1" l="1" a="1"/>
  <c r="N18" i="1" s="1"/>
  <c r="P18" i="1" s="1" a="1"/>
  <c r="P18" i="1" s="1"/>
  <c r="AD18" i="1"/>
  <c r="O19" i="1" s="1"/>
  <c r="AP21" i="1"/>
  <c r="D18" i="1" s="1"/>
  <c r="G18" i="1" s="1" a="1"/>
  <c r="G18" i="1" s="1"/>
  <c r="AJ21" i="1" s="1"/>
  <c r="H17" i="1"/>
  <c r="I17" i="1"/>
  <c r="G17" i="1" a="1"/>
  <c r="G17" i="1" s="1"/>
  <c r="AJ20" i="1" s="1"/>
  <c r="E17" i="1" s="1" a="1"/>
  <c r="E17" i="1" s="1"/>
  <c r="AV22" i="1"/>
  <c r="L19" i="1"/>
  <c r="K19" i="1" s="1" a="1"/>
  <c r="K19" i="1" s="1"/>
  <c r="E15" i="1" a="1"/>
  <c r="E15" i="1" s="1"/>
  <c r="N19" i="1" l="1" a="1"/>
  <c r="N19" i="1" s="1"/>
  <c r="P19" i="1" s="1" a="1"/>
  <c r="P19" i="1" s="1"/>
  <c r="AD19" i="1"/>
  <c r="O20" i="1" s="1"/>
  <c r="AP22" i="1"/>
  <c r="D19" i="1" s="1"/>
  <c r="H19" i="1" s="1"/>
  <c r="F18" i="1" a="1"/>
  <c r="F18" i="1" s="1"/>
  <c r="AI21" i="1" s="1"/>
  <c r="E18" i="1" s="1" a="1"/>
  <c r="E18" i="1" s="1"/>
  <c r="H18" i="1"/>
  <c r="I18" i="1"/>
  <c r="AV23" i="1"/>
  <c r="L20" i="1"/>
  <c r="K20" i="1" s="1" a="1"/>
  <c r="K20" i="1" s="1"/>
  <c r="N20" i="1" l="1" a="1"/>
  <c r="N20" i="1" s="1"/>
  <c r="P20" i="1" s="1" a="1"/>
  <c r="P20" i="1" s="1"/>
  <c r="AD20" i="1"/>
  <c r="O21" i="1" s="1"/>
  <c r="G19" i="1" a="1"/>
  <c r="G19" i="1" s="1"/>
  <c r="AJ22" i="1" s="1"/>
  <c r="F19" i="1" a="1"/>
  <c r="F19" i="1" s="1"/>
  <c r="AI22" i="1" s="1"/>
  <c r="I19" i="1"/>
  <c r="AP23" i="1"/>
  <c r="D20" i="1" s="1"/>
  <c r="G20" i="1" s="1" a="1"/>
  <c r="G20" i="1" s="1"/>
  <c r="AJ23" i="1" s="1"/>
  <c r="AV24" i="1"/>
  <c r="L21" i="1"/>
  <c r="K21" i="1" s="1" a="1"/>
  <c r="K21" i="1" s="1"/>
  <c r="N21" i="1" l="1" a="1"/>
  <c r="N21" i="1" s="1"/>
  <c r="P21" i="1" s="1" a="1"/>
  <c r="P21" i="1" s="1"/>
  <c r="AD21" i="1"/>
  <c r="O22" i="1" s="1"/>
  <c r="AP24" i="1"/>
  <c r="D21" i="1" s="1"/>
  <c r="G21" i="1" s="1" a="1"/>
  <c r="G21" i="1" s="1"/>
  <c r="AJ24" i="1" s="1"/>
  <c r="F20" i="1" a="1"/>
  <c r="F20" i="1" s="1"/>
  <c r="AI23" i="1" s="1"/>
  <c r="E20" i="1" s="1" a="1"/>
  <c r="E20" i="1" s="1"/>
  <c r="H20" i="1"/>
  <c r="E19" i="1" a="1"/>
  <c r="E19" i="1" s="1"/>
  <c r="I20" i="1"/>
  <c r="AV25" i="1"/>
  <c r="L22" i="1"/>
  <c r="K22" i="1" s="1" a="1"/>
  <c r="K22" i="1" s="1"/>
  <c r="N22" i="1" l="1" a="1"/>
  <c r="N22" i="1" s="1"/>
  <c r="P22" i="1" s="1" a="1"/>
  <c r="P22" i="1" s="1"/>
  <c r="AD22" i="1"/>
  <c r="O23" i="1" s="1"/>
  <c r="AP25" i="1"/>
  <c r="D22" i="1" s="1"/>
  <c r="H22" i="1" s="1"/>
  <c r="F21" i="1" a="1"/>
  <c r="F21" i="1" s="1"/>
  <c r="AI24" i="1" s="1"/>
  <c r="E21" i="1" s="1" a="1"/>
  <c r="E21" i="1" s="1"/>
  <c r="I21" i="1"/>
  <c r="H21" i="1"/>
  <c r="AV26" i="1"/>
  <c r="L23" i="1"/>
  <c r="K23" i="1" s="1" a="1"/>
  <c r="K23" i="1" s="1"/>
  <c r="N23" i="1" l="1" a="1"/>
  <c r="N23" i="1" s="1"/>
  <c r="P23" i="1" s="1" a="1"/>
  <c r="P23" i="1" s="1"/>
  <c r="AD23" i="1"/>
  <c r="O24" i="1" s="1"/>
  <c r="G22" i="1" a="1"/>
  <c r="G22" i="1" s="1"/>
  <c r="AJ25" i="1" s="1"/>
  <c r="F22" i="1" a="1"/>
  <c r="F22" i="1" s="1"/>
  <c r="AI25" i="1" s="1"/>
  <c r="I22" i="1"/>
  <c r="AP26" i="1"/>
  <c r="D23" i="1" s="1"/>
  <c r="I23" i="1" s="1"/>
  <c r="AV27" i="1"/>
  <c r="L24" i="1"/>
  <c r="K24" i="1" s="1" a="1"/>
  <c r="K24" i="1" s="1"/>
  <c r="N24" i="1" l="1" a="1"/>
  <c r="N24" i="1" s="1"/>
  <c r="P24" i="1" s="1" a="1"/>
  <c r="P24" i="1" s="1"/>
  <c r="AD24" i="1"/>
  <c r="O25" i="1" s="1"/>
  <c r="AP27" i="1"/>
  <c r="D24" i="1" s="1"/>
  <c r="F24" i="1" s="1" a="1"/>
  <c r="F24" i="1" s="1"/>
  <c r="AI27" i="1" s="1"/>
  <c r="E22" i="1" a="1"/>
  <c r="E22" i="1" s="1"/>
  <c r="H23" i="1"/>
  <c r="F23" i="1" a="1"/>
  <c r="F23" i="1" s="1"/>
  <c r="AI26" i="1" s="1"/>
  <c r="G23" i="1" a="1"/>
  <c r="G23" i="1" s="1"/>
  <c r="AJ26" i="1" s="1"/>
  <c r="AV28" i="1"/>
  <c r="L25" i="1"/>
  <c r="K25" i="1" s="1" a="1"/>
  <c r="K25" i="1" s="1"/>
  <c r="N25" i="1" l="1" a="1"/>
  <c r="N25" i="1" s="1"/>
  <c r="P25" i="1" s="1" a="1"/>
  <c r="P25" i="1" s="1"/>
  <c r="AD25" i="1"/>
  <c r="AP28" i="1"/>
  <c r="D25" i="1" s="1"/>
  <c r="G25" i="1" s="1" a="1"/>
  <c r="G25" i="1" s="1"/>
  <c r="AJ28" i="1" s="1"/>
  <c r="G24" i="1" a="1"/>
  <c r="G24" i="1" s="1"/>
  <c r="AJ27" i="1" s="1"/>
  <c r="E24" i="1" s="1" a="1"/>
  <c r="E24" i="1" s="1"/>
  <c r="H24" i="1"/>
  <c r="I24" i="1"/>
  <c r="E23" i="1" a="1"/>
  <c r="E23" i="1" s="1"/>
  <c r="AV29" i="1"/>
  <c r="L26" i="1"/>
  <c r="K26" i="1" s="1" a="1"/>
  <c r="K26" i="1" s="1"/>
  <c r="H25" i="1" l="1"/>
  <c r="AP29" i="1"/>
  <c r="D26" i="1" s="1"/>
  <c r="H26" i="1" s="1"/>
  <c r="F25" i="1" a="1"/>
  <c r="F25" i="1" s="1"/>
  <c r="AI28" i="1" s="1"/>
  <c r="E25" i="1" s="1" a="1"/>
  <c r="E25" i="1" s="1"/>
  <c r="I25" i="1"/>
  <c r="AV30" i="1"/>
  <c r="L27" i="1"/>
  <c r="K27" i="1" s="1" a="1"/>
  <c r="K27" i="1" s="1"/>
  <c r="AP30" i="1" l="1"/>
  <c r="D27" i="1" s="1"/>
  <c r="H27" i="1" s="1"/>
  <c r="G26" i="1" a="1"/>
  <c r="G26" i="1" s="1"/>
  <c r="AJ29" i="1" s="1"/>
  <c r="F26" i="1" a="1"/>
  <c r="F26" i="1" s="1"/>
  <c r="AI29" i="1" s="1"/>
  <c r="I26" i="1"/>
  <c r="AV31" i="1"/>
  <c r="L28" i="1"/>
  <c r="K28" i="1" s="1" a="1"/>
  <c r="K28" i="1" s="1"/>
  <c r="E26" i="1" l="1" a="1"/>
  <c r="E26" i="1" s="1"/>
  <c r="G27" i="1" a="1"/>
  <c r="G27" i="1" s="1"/>
  <c r="AJ30" i="1" s="1"/>
  <c r="F27" i="1" a="1"/>
  <c r="F27" i="1" s="1"/>
  <c r="AI30" i="1" s="1"/>
  <c r="I27" i="1"/>
  <c r="AP31" i="1"/>
  <c r="D28" i="1" s="1"/>
  <c r="I28" i="1" s="1"/>
  <c r="AV32" i="1"/>
  <c r="L29" i="1"/>
  <c r="K29" i="1" s="1" a="1"/>
  <c r="K29" i="1" s="1"/>
  <c r="F28" i="1" l="1" a="1"/>
  <c r="F28" i="1" s="1"/>
  <c r="AI31" i="1" s="1"/>
  <c r="H28" i="1"/>
  <c r="G28" i="1" a="1"/>
  <c r="G28" i="1" s="1"/>
  <c r="AJ31" i="1" s="1"/>
  <c r="AP32" i="1"/>
  <c r="D29" i="1" s="1"/>
  <c r="H29" i="1" s="1"/>
  <c r="E27" i="1" a="1"/>
  <c r="E27" i="1" s="1"/>
  <c r="AV33" i="1"/>
  <c r="L30" i="1"/>
  <c r="K30" i="1" s="1" a="1"/>
  <c r="K30" i="1" s="1"/>
  <c r="AP33" i="1" l="1"/>
  <c r="D30" i="1" s="1"/>
  <c r="I30" i="1" s="1"/>
  <c r="E28" i="1" a="1"/>
  <c r="E28" i="1" s="1"/>
  <c r="F29" i="1" a="1"/>
  <c r="F29" i="1" s="1"/>
  <c r="AI32" i="1" s="1"/>
  <c r="G29" i="1" a="1"/>
  <c r="G29" i="1" s="1"/>
  <c r="AJ32" i="1" s="1"/>
  <c r="I29" i="1"/>
  <c r="AV34" i="1"/>
  <c r="L31" i="1"/>
  <c r="K31" i="1" s="1" a="1"/>
  <c r="K31" i="1" s="1"/>
  <c r="AP34" i="1" l="1"/>
  <c r="D31" i="1" s="1"/>
  <c r="G31" i="1" s="1" a="1"/>
  <c r="G31" i="1" s="1"/>
  <c r="AJ34" i="1" s="1"/>
  <c r="E29" i="1" a="1"/>
  <c r="E29" i="1" s="1"/>
  <c r="F30" i="1" a="1"/>
  <c r="F30" i="1" s="1"/>
  <c r="AI33" i="1" s="1"/>
  <c r="H30" i="1"/>
  <c r="G30" i="1" a="1"/>
  <c r="G30" i="1" s="1"/>
  <c r="AJ33" i="1" s="1"/>
  <c r="AV35" i="1"/>
  <c r="L32" i="1"/>
  <c r="K32" i="1" s="1" a="1"/>
  <c r="K32" i="1" s="1"/>
  <c r="AP35" i="1" l="1"/>
  <c r="D32" i="1" s="1"/>
  <c r="G32" i="1" s="1" a="1"/>
  <c r="G32" i="1" s="1"/>
  <c r="AJ35" i="1" s="1"/>
  <c r="F31" i="1" a="1"/>
  <c r="F31" i="1" s="1"/>
  <c r="AI34" i="1" s="1"/>
  <c r="E31" i="1" s="1" a="1"/>
  <c r="E31" i="1" s="1"/>
  <c r="H31" i="1"/>
  <c r="I31" i="1"/>
  <c r="E30" i="1" a="1"/>
  <c r="E30" i="1" s="1"/>
  <c r="AV36" i="1"/>
  <c r="L33" i="1"/>
  <c r="K33" i="1" s="1" a="1"/>
  <c r="K33" i="1" s="1"/>
  <c r="F32" i="1" l="1" a="1"/>
  <c r="F32" i="1" s="1"/>
  <c r="AI35" i="1" s="1"/>
  <c r="E32" i="1" s="1" a="1"/>
  <c r="E32" i="1" s="1"/>
  <c r="I32" i="1"/>
  <c r="H32" i="1"/>
  <c r="AP36" i="1"/>
  <c r="D33" i="1" s="1"/>
  <c r="F33" i="1" s="1" a="1"/>
  <c r="F33" i="1" s="1"/>
  <c r="AI36" i="1" s="1"/>
  <c r="AV37" i="1"/>
  <c r="L34" i="1"/>
  <c r="K34" i="1" s="1" a="1"/>
  <c r="K34" i="1" s="1"/>
  <c r="AP37" i="1" l="1"/>
  <c r="D34" i="1" s="1"/>
  <c r="G34" i="1" s="1" a="1"/>
  <c r="G34" i="1" s="1"/>
  <c r="AJ37" i="1" s="1"/>
  <c r="I33" i="1"/>
  <c r="H33" i="1"/>
  <c r="G33" i="1" a="1"/>
  <c r="G33" i="1" s="1"/>
  <c r="AJ36" i="1" s="1"/>
  <c r="E33" i="1" s="1" a="1"/>
  <c r="E33" i="1" s="1"/>
  <c r="AV38" i="1"/>
  <c r="L35" i="1"/>
  <c r="K35" i="1" s="1" a="1"/>
  <c r="K35" i="1" s="1"/>
  <c r="F34" i="1" l="1" a="1"/>
  <c r="F34" i="1" s="1"/>
  <c r="AI37" i="1" s="1"/>
  <c r="E34" i="1" s="1" a="1"/>
  <c r="E34" i="1" s="1"/>
  <c r="I34" i="1"/>
  <c r="H34" i="1"/>
  <c r="AP38" i="1"/>
  <c r="D35" i="1" s="1"/>
  <c r="G35" i="1" s="1" a="1"/>
  <c r="G35" i="1" s="1"/>
  <c r="AJ38" i="1" s="1"/>
  <c r="AV39" i="1"/>
  <c r="L36" i="1"/>
  <c r="K36" i="1" s="1" a="1"/>
  <c r="K36" i="1" s="1"/>
  <c r="F35" i="1" l="1" a="1"/>
  <c r="F35" i="1" s="1"/>
  <c r="AI38" i="1" s="1"/>
  <c r="E35" i="1" s="1" a="1"/>
  <c r="E35" i="1" s="1"/>
  <c r="I35" i="1"/>
  <c r="H35" i="1"/>
  <c r="AP39" i="1"/>
  <c r="D36" i="1" s="1"/>
  <c r="G36" i="1" s="1" a="1"/>
  <c r="G36" i="1" s="1"/>
  <c r="AJ39" i="1" s="1"/>
  <c r="AV40" i="1"/>
  <c r="L37" i="1"/>
  <c r="K37" i="1" s="1" a="1"/>
  <c r="K37" i="1" s="1"/>
  <c r="F36" i="1" l="1" a="1"/>
  <c r="F36" i="1" s="1"/>
  <c r="AI39" i="1" s="1"/>
  <c r="E36" i="1" s="1" a="1"/>
  <c r="E36" i="1" s="1"/>
  <c r="I36" i="1"/>
  <c r="H36" i="1"/>
  <c r="AP40" i="1"/>
  <c r="D37" i="1" s="1"/>
  <c r="H37" i="1" s="1"/>
  <c r="AV41" i="1"/>
  <c r="L38" i="1"/>
  <c r="K38" i="1" s="1" a="1"/>
  <c r="K38" i="1" s="1"/>
  <c r="AP41" i="1" l="1"/>
  <c r="D38" i="1" s="1"/>
  <c r="G38" i="1" s="1" a="1"/>
  <c r="G38" i="1" s="1"/>
  <c r="AJ41" i="1" s="1"/>
  <c r="G37" i="1" a="1"/>
  <c r="G37" i="1" s="1"/>
  <c r="AJ40" i="1" s="1"/>
  <c r="I37" i="1"/>
  <c r="F37" i="1" a="1"/>
  <c r="F37" i="1" s="1"/>
  <c r="AI40" i="1" s="1"/>
  <c r="AV42" i="1"/>
  <c r="L39" i="1"/>
  <c r="K39" i="1" s="1" a="1"/>
  <c r="K39" i="1" s="1"/>
  <c r="F38" i="1" l="1" a="1"/>
  <c r="F38" i="1" s="1"/>
  <c r="AI41" i="1" s="1"/>
  <c r="E38" i="1" s="1" a="1"/>
  <c r="E38" i="1" s="1"/>
  <c r="H38" i="1"/>
  <c r="I38" i="1"/>
  <c r="AP42" i="1"/>
  <c r="D39" i="1" s="1"/>
  <c r="G39" i="1" s="1" a="1"/>
  <c r="G39" i="1" s="1"/>
  <c r="AJ42" i="1" s="1"/>
  <c r="E37" i="1" a="1"/>
  <c r="E37" i="1" s="1"/>
  <c r="AV43" i="1"/>
  <c r="L40" i="1"/>
  <c r="K40" i="1" s="1" a="1"/>
  <c r="K40" i="1" s="1"/>
  <c r="I39" i="1" l="1"/>
  <c r="H39" i="1"/>
  <c r="AP43" i="1"/>
  <c r="D40" i="1" s="1"/>
  <c r="H40" i="1" s="1"/>
  <c r="F39" i="1" a="1"/>
  <c r="F39" i="1" s="1"/>
  <c r="AI42" i="1" s="1"/>
  <c r="E39" i="1" s="1" a="1"/>
  <c r="E39" i="1" s="1"/>
  <c r="AV44" i="1"/>
  <c r="L41" i="1"/>
  <c r="K41" i="1" s="1" a="1"/>
  <c r="K41" i="1" s="1"/>
  <c r="AP44" i="1" l="1"/>
  <c r="D41" i="1" s="1"/>
  <c r="G41" i="1" s="1" a="1"/>
  <c r="G41" i="1" s="1"/>
  <c r="AJ44" i="1" s="1"/>
  <c r="G40" i="1" a="1"/>
  <c r="G40" i="1" s="1"/>
  <c r="AJ43" i="1" s="1"/>
  <c r="F40" i="1" a="1"/>
  <c r="F40" i="1" s="1"/>
  <c r="AI43" i="1" s="1"/>
  <c r="I40" i="1"/>
  <c r="AV45" i="1"/>
  <c r="L42" i="1"/>
  <c r="K42" i="1" s="1" a="1"/>
  <c r="K42" i="1" s="1"/>
  <c r="AP45" i="1" l="1"/>
  <c r="D42" i="1" s="1"/>
  <c r="F42" i="1" s="1" a="1"/>
  <c r="F42" i="1" s="1"/>
  <c r="AI45" i="1" s="1"/>
  <c r="H41" i="1"/>
  <c r="F41" i="1" a="1"/>
  <c r="F41" i="1" s="1"/>
  <c r="AI44" i="1" s="1"/>
  <c r="E41" i="1" s="1" a="1"/>
  <c r="E41" i="1" s="1"/>
  <c r="I41" i="1"/>
  <c r="E40" i="1" a="1"/>
  <c r="E40" i="1" s="1"/>
  <c r="AV46" i="1"/>
  <c r="L43" i="1"/>
  <c r="K43" i="1" s="1" a="1"/>
  <c r="K43" i="1" s="1"/>
  <c r="I42" i="1" l="1"/>
  <c r="H42" i="1"/>
  <c r="AP46" i="1"/>
  <c r="D43" i="1" s="1"/>
  <c r="F43" i="1" s="1" a="1"/>
  <c r="F43" i="1" s="1"/>
  <c r="AI46" i="1" s="1"/>
  <c r="G42" i="1" a="1"/>
  <c r="G42" i="1" s="1"/>
  <c r="AJ45" i="1" s="1"/>
  <c r="E42" i="1" s="1" a="1"/>
  <c r="E42" i="1" s="1"/>
  <c r="AV47" i="1"/>
  <c r="L44" i="1"/>
  <c r="K44" i="1" s="1" a="1"/>
  <c r="K44" i="1" s="1"/>
  <c r="AP47" i="1" l="1"/>
  <c r="D44" i="1" s="1"/>
  <c r="G44" i="1" s="1" a="1"/>
  <c r="G44" i="1" s="1"/>
  <c r="AJ47" i="1" s="1"/>
  <c r="H43" i="1"/>
  <c r="G43" i="1" a="1"/>
  <c r="G43" i="1" s="1"/>
  <c r="AJ46" i="1" s="1"/>
  <c r="E43" i="1" s="1" a="1"/>
  <c r="E43" i="1" s="1"/>
  <c r="I43" i="1"/>
  <c r="AV48" i="1"/>
  <c r="L45" i="1"/>
  <c r="K45" i="1" s="1" a="1"/>
  <c r="K45" i="1" s="1"/>
  <c r="F44" i="1" l="1" a="1"/>
  <c r="F44" i="1" s="1"/>
  <c r="AI47" i="1" s="1"/>
  <c r="E44" i="1" s="1" a="1"/>
  <c r="E44" i="1" s="1"/>
  <c r="I44" i="1"/>
  <c r="H44" i="1"/>
  <c r="AP48" i="1"/>
  <c r="D45" i="1" s="1"/>
  <c r="F45" i="1" s="1" a="1"/>
  <c r="F45" i="1" s="1"/>
  <c r="AI48" i="1" s="1"/>
  <c r="AV49" i="1"/>
  <c r="L46" i="1"/>
  <c r="K46" i="1" s="1" a="1"/>
  <c r="K46" i="1" s="1"/>
  <c r="AP49" i="1" l="1"/>
  <c r="D46" i="1" s="1"/>
  <c r="G46" i="1" s="1" a="1"/>
  <c r="G46" i="1" s="1"/>
  <c r="AJ49" i="1" s="1"/>
  <c r="I45" i="1"/>
  <c r="H45" i="1"/>
  <c r="G45" i="1" a="1"/>
  <c r="G45" i="1" s="1"/>
  <c r="AJ48" i="1" s="1"/>
  <c r="E45" i="1" s="1" a="1"/>
  <c r="E45" i="1" s="1"/>
  <c r="AV50" i="1"/>
  <c r="L47" i="1"/>
  <c r="K47" i="1" s="1" a="1"/>
  <c r="K47" i="1" s="1"/>
  <c r="AP50" i="1" l="1"/>
  <c r="D47" i="1" s="1"/>
  <c r="G47" i="1" s="1" a="1"/>
  <c r="G47" i="1" s="1"/>
  <c r="AJ50" i="1" s="1"/>
  <c r="F46" i="1" a="1"/>
  <c r="F46" i="1" s="1"/>
  <c r="AI49" i="1" s="1"/>
  <c r="E46" i="1" s="1" a="1"/>
  <c r="E46" i="1" s="1"/>
  <c r="I46" i="1"/>
  <c r="H46" i="1"/>
  <c r="AV51" i="1"/>
  <c r="L48" i="1"/>
  <c r="K48" i="1" s="1" a="1"/>
  <c r="K48" i="1" s="1"/>
  <c r="I47" i="1" l="1"/>
  <c r="F47" i="1" a="1"/>
  <c r="F47" i="1" s="1"/>
  <c r="AI50" i="1" s="1"/>
  <c r="E47" i="1" s="1" a="1"/>
  <c r="E47" i="1" s="1"/>
  <c r="H47" i="1"/>
  <c r="AP51" i="1"/>
  <c r="D48" i="1" s="1"/>
  <c r="F48" i="1" s="1" a="1"/>
  <c r="F48" i="1" s="1"/>
  <c r="AI51" i="1" s="1"/>
  <c r="AV52" i="1"/>
  <c r="L49" i="1"/>
  <c r="K49" i="1" s="1" a="1"/>
  <c r="K49" i="1" s="1"/>
  <c r="H48" i="1" l="1"/>
  <c r="AP52" i="1"/>
  <c r="D49" i="1" s="1"/>
  <c r="F49" i="1" s="1" a="1"/>
  <c r="F49" i="1" s="1"/>
  <c r="AI52" i="1" s="1"/>
  <c r="I48" i="1"/>
  <c r="G48" i="1" a="1"/>
  <c r="G48" i="1" s="1"/>
  <c r="AJ51" i="1" s="1"/>
  <c r="E48" i="1" s="1" a="1"/>
  <c r="E48" i="1" s="1"/>
  <c r="AV53" i="1"/>
  <c r="L50" i="1"/>
  <c r="K50" i="1" s="1" a="1"/>
  <c r="K50" i="1" s="1"/>
  <c r="I49" i="1" l="1"/>
  <c r="H49" i="1"/>
  <c r="AP53" i="1"/>
  <c r="D50" i="1" s="1"/>
  <c r="G50" i="1" s="1" a="1"/>
  <c r="G50" i="1" s="1"/>
  <c r="AJ53" i="1" s="1"/>
  <c r="G49" i="1" a="1"/>
  <c r="G49" i="1" s="1"/>
  <c r="AJ52" i="1" s="1"/>
  <c r="E49" i="1" s="1" a="1"/>
  <c r="E49" i="1" s="1"/>
  <c r="AV54" i="1"/>
  <c r="L51" i="1"/>
  <c r="K51" i="1" s="1" a="1"/>
  <c r="K51" i="1" s="1"/>
  <c r="I50" i="1" l="1"/>
  <c r="H50" i="1"/>
  <c r="AP54" i="1"/>
  <c r="D51" i="1" s="1"/>
  <c r="H51" i="1" s="1"/>
  <c r="F50" i="1" a="1"/>
  <c r="F50" i="1" s="1"/>
  <c r="AI53" i="1" s="1"/>
  <c r="E50" i="1" s="1" a="1"/>
  <c r="E50" i="1" s="1"/>
  <c r="AV55" i="1"/>
  <c r="L52" i="1"/>
  <c r="K52" i="1" s="1" a="1"/>
  <c r="K52" i="1" s="1"/>
  <c r="AP55" i="1" l="1"/>
  <c r="D52" i="1" s="1"/>
  <c r="G52" i="1" s="1" a="1"/>
  <c r="G52" i="1" s="1"/>
  <c r="AJ55" i="1" s="1"/>
  <c r="G51" i="1" a="1"/>
  <c r="G51" i="1" s="1"/>
  <c r="AJ54" i="1" s="1"/>
  <c r="I51" i="1"/>
  <c r="F51" i="1" a="1"/>
  <c r="F51" i="1" s="1"/>
  <c r="AI54" i="1" s="1"/>
  <c r="AV56" i="1"/>
  <c r="L53" i="1"/>
  <c r="K53" i="1" s="1" a="1"/>
  <c r="K53" i="1" s="1"/>
  <c r="I52" i="1" l="1"/>
  <c r="F52" i="1" a="1"/>
  <c r="F52" i="1" s="1"/>
  <c r="AI55" i="1" s="1"/>
  <c r="E52" i="1" s="1" a="1"/>
  <c r="E52" i="1" s="1"/>
  <c r="H52" i="1"/>
  <c r="AP56" i="1"/>
  <c r="D53" i="1" s="1"/>
  <c r="I53" i="1" s="1"/>
  <c r="E51" i="1" a="1"/>
  <c r="E51" i="1" s="1"/>
  <c r="AV57" i="1"/>
  <c r="L54" i="1"/>
  <c r="K54" i="1" s="1" a="1"/>
  <c r="K54" i="1" s="1"/>
  <c r="H53" i="1" l="1"/>
  <c r="AP57" i="1"/>
  <c r="D54" i="1" s="1"/>
  <c r="G54" i="1" s="1" a="1"/>
  <c r="G54" i="1" s="1"/>
  <c r="AJ57" i="1" s="1"/>
  <c r="G53" i="1" a="1"/>
  <c r="G53" i="1" s="1"/>
  <c r="AJ56" i="1" s="1"/>
  <c r="F53" i="1" a="1"/>
  <c r="F53" i="1" s="1"/>
  <c r="AI56" i="1" s="1"/>
  <c r="AV58" i="1"/>
  <c r="L55" i="1"/>
  <c r="K55" i="1" s="1" a="1"/>
  <c r="K55" i="1" s="1"/>
  <c r="F54" i="1" l="1" a="1"/>
  <c r="F54" i="1" s="1"/>
  <c r="AI57" i="1" s="1"/>
  <c r="E54" i="1" s="1" a="1"/>
  <c r="E54" i="1" s="1"/>
  <c r="I54" i="1"/>
  <c r="H54" i="1"/>
  <c r="AP58" i="1"/>
  <c r="D55" i="1" s="1"/>
  <c r="F55" i="1" s="1" a="1"/>
  <c r="F55" i="1" s="1"/>
  <c r="AI58" i="1" s="1"/>
  <c r="E53" i="1" a="1"/>
  <c r="E53" i="1" s="1"/>
  <c r="AV59" i="1"/>
  <c r="L56" i="1"/>
  <c r="K56" i="1" s="1" a="1"/>
  <c r="K56" i="1" s="1"/>
  <c r="I55" i="1" l="1"/>
  <c r="H55" i="1"/>
  <c r="AP59" i="1"/>
  <c r="D56" i="1" s="1"/>
  <c r="H56" i="1" s="1"/>
  <c r="G55" i="1" a="1"/>
  <c r="G55" i="1" s="1"/>
  <c r="AJ58" i="1" s="1"/>
  <c r="E55" i="1" s="1" a="1"/>
  <c r="E55" i="1" s="1"/>
  <c r="AV60" i="1"/>
  <c r="L57" i="1"/>
  <c r="K57" i="1" s="1" a="1"/>
  <c r="K57" i="1" s="1"/>
  <c r="AP60" i="1" l="1"/>
  <c r="D57" i="1" s="1"/>
  <c r="H57" i="1" s="1"/>
  <c r="G56" i="1" a="1"/>
  <c r="G56" i="1" s="1"/>
  <c r="AJ59" i="1" s="1"/>
  <c r="I56" i="1"/>
  <c r="F56" i="1" a="1"/>
  <c r="F56" i="1" s="1"/>
  <c r="AI59" i="1" s="1"/>
  <c r="AV61" i="1"/>
  <c r="L58" i="1"/>
  <c r="K58" i="1" s="1" a="1"/>
  <c r="K58" i="1" s="1"/>
  <c r="E56" i="1" l="1" a="1"/>
  <c r="E56" i="1" s="1"/>
  <c r="AP61" i="1"/>
  <c r="D58" i="1" s="1"/>
  <c r="G58" i="1" s="1" a="1"/>
  <c r="G58" i="1" s="1"/>
  <c r="AJ61" i="1" s="1"/>
  <c r="I57" i="1"/>
  <c r="G57" i="1" a="1"/>
  <c r="G57" i="1" s="1"/>
  <c r="AJ60" i="1" s="1"/>
  <c r="F57" i="1" a="1"/>
  <c r="F57" i="1" s="1"/>
  <c r="AI60" i="1" s="1"/>
  <c r="AV62" i="1"/>
  <c r="L59" i="1"/>
  <c r="K59" i="1" s="1" a="1"/>
  <c r="K59" i="1" s="1"/>
  <c r="H58" i="1" l="1"/>
  <c r="F58" i="1" a="1"/>
  <c r="F58" i="1" s="1"/>
  <c r="AI61" i="1" s="1"/>
  <c r="E58" i="1" s="1" a="1"/>
  <c r="E58" i="1" s="1"/>
  <c r="AP62" i="1"/>
  <c r="D59" i="1" s="1"/>
  <c r="I59" i="1" s="1"/>
  <c r="I58" i="1"/>
  <c r="E57" i="1" a="1"/>
  <c r="E57" i="1" s="1"/>
  <c r="AV63" i="1"/>
  <c r="L60" i="1"/>
  <c r="K60" i="1" s="1" a="1"/>
  <c r="K60" i="1" s="1"/>
  <c r="H59" i="1" l="1"/>
  <c r="AP63" i="1"/>
  <c r="D60" i="1" s="1"/>
  <c r="I60" i="1" s="1"/>
  <c r="G59" i="1" a="1"/>
  <c r="G59" i="1" s="1"/>
  <c r="AJ62" i="1" s="1"/>
  <c r="F59" i="1" a="1"/>
  <c r="F59" i="1" s="1"/>
  <c r="AI62" i="1" s="1"/>
  <c r="AV64" i="1"/>
  <c r="L61" i="1"/>
  <c r="K61" i="1" s="1" a="1"/>
  <c r="K61" i="1" s="1"/>
  <c r="F60" i="1" l="1" a="1"/>
  <c r="F60" i="1" s="1"/>
  <c r="AI63" i="1" s="1"/>
  <c r="G60" i="1" a="1"/>
  <c r="G60" i="1" s="1"/>
  <c r="AJ63" i="1" s="1"/>
  <c r="H60" i="1"/>
  <c r="AP64" i="1"/>
  <c r="D61" i="1" s="1"/>
  <c r="I61" i="1" s="1"/>
  <c r="E59" i="1" a="1"/>
  <c r="E59" i="1" s="1"/>
  <c r="AV65" i="1"/>
  <c r="L62" i="1"/>
  <c r="K62" i="1" s="1" a="1"/>
  <c r="K62" i="1" s="1"/>
  <c r="E60" i="1" l="1" a="1"/>
  <c r="E60" i="1" s="1"/>
  <c r="H61" i="1"/>
  <c r="AP65" i="1"/>
  <c r="D62" i="1" s="1"/>
  <c r="F62" i="1" s="1" a="1"/>
  <c r="F62" i="1" s="1"/>
  <c r="AI65" i="1" s="1"/>
  <c r="G61" i="1" a="1"/>
  <c r="G61" i="1" s="1"/>
  <c r="AJ64" i="1" s="1"/>
  <c r="F61" i="1" a="1"/>
  <c r="F61" i="1" s="1"/>
  <c r="AI64" i="1" s="1"/>
  <c r="AV66" i="1"/>
  <c r="L63" i="1"/>
  <c r="K63" i="1" s="1" a="1"/>
  <c r="K63" i="1" s="1"/>
  <c r="H62" i="1" l="1"/>
  <c r="I62" i="1"/>
  <c r="AP66" i="1"/>
  <c r="D63" i="1" s="1"/>
  <c r="F63" i="1" s="1" a="1"/>
  <c r="F63" i="1" s="1"/>
  <c r="AI66" i="1" s="1"/>
  <c r="G62" i="1" a="1"/>
  <c r="G62" i="1" s="1"/>
  <c r="AJ65" i="1" s="1"/>
  <c r="E62" i="1" s="1" a="1"/>
  <c r="E62" i="1" s="1"/>
  <c r="E61" i="1" a="1"/>
  <c r="E61" i="1" s="1"/>
  <c r="AV67" i="1"/>
  <c r="L64" i="1"/>
  <c r="K64" i="1" s="1" a="1"/>
  <c r="K64" i="1" s="1"/>
  <c r="AP67" i="1" l="1"/>
  <c r="D64" i="1" s="1"/>
  <c r="I64" i="1" s="1"/>
  <c r="I63" i="1"/>
  <c r="H63" i="1"/>
  <c r="G63" i="1" a="1"/>
  <c r="G63" i="1" s="1"/>
  <c r="AJ66" i="1" s="1"/>
  <c r="E63" i="1" s="1" a="1"/>
  <c r="E63" i="1" s="1"/>
  <c r="AV68" i="1"/>
  <c r="L65" i="1"/>
  <c r="K65" i="1" s="1" a="1"/>
  <c r="K65" i="1" s="1"/>
  <c r="H64" i="1" l="1"/>
  <c r="G64" i="1" a="1"/>
  <c r="G64" i="1" s="1"/>
  <c r="AJ67" i="1" s="1"/>
  <c r="AP68" i="1"/>
  <c r="D65" i="1" s="1"/>
  <c r="H65" i="1" s="1"/>
  <c r="F64" i="1" a="1"/>
  <c r="F64" i="1" s="1"/>
  <c r="AI67" i="1" s="1"/>
  <c r="AV69" i="1"/>
  <c r="L66" i="1"/>
  <c r="K66" i="1" s="1" a="1"/>
  <c r="K66" i="1" s="1"/>
  <c r="E64" i="1" l="1" a="1"/>
  <c r="E64" i="1" s="1"/>
  <c r="G65" i="1" a="1"/>
  <c r="G65" i="1" s="1"/>
  <c r="AJ68" i="1" s="1"/>
  <c r="F65" i="1" a="1"/>
  <c r="F65" i="1" s="1"/>
  <c r="AI68" i="1" s="1"/>
  <c r="AP69" i="1"/>
  <c r="D66" i="1" s="1"/>
  <c r="H66" i="1" s="1"/>
  <c r="I65" i="1"/>
  <c r="AV70" i="1"/>
  <c r="L67" i="1"/>
  <c r="K67" i="1" s="1" a="1"/>
  <c r="K67" i="1" s="1"/>
  <c r="E65" i="1" l="1" a="1"/>
  <c r="E65" i="1" s="1"/>
  <c r="AP70" i="1"/>
  <c r="D67" i="1" s="1"/>
  <c r="F67" i="1" s="1" a="1"/>
  <c r="F67" i="1" s="1"/>
  <c r="AI70" i="1" s="1"/>
  <c r="G66" i="1" a="1"/>
  <c r="G66" i="1" s="1"/>
  <c r="AJ69" i="1" s="1"/>
  <c r="I66" i="1"/>
  <c r="F66" i="1" a="1"/>
  <c r="F66" i="1" s="1"/>
  <c r="AI69" i="1" s="1"/>
  <c r="AV71" i="1"/>
  <c r="L68" i="1"/>
  <c r="K68" i="1" s="1" a="1"/>
  <c r="K68" i="1" s="1"/>
  <c r="E66" i="1" l="1" a="1"/>
  <c r="E66" i="1" s="1"/>
  <c r="H67" i="1"/>
  <c r="I67" i="1"/>
  <c r="AP71" i="1"/>
  <c r="D68" i="1" s="1"/>
  <c r="H68" i="1" s="1"/>
  <c r="G67" i="1" a="1"/>
  <c r="G67" i="1" s="1"/>
  <c r="AJ70" i="1" s="1"/>
  <c r="E67" i="1" s="1" a="1"/>
  <c r="E67" i="1" s="1"/>
  <c r="AV72" i="1"/>
  <c r="L69" i="1"/>
  <c r="K69" i="1" s="1" a="1"/>
  <c r="K69" i="1" s="1"/>
  <c r="F68" i="1" l="1" a="1"/>
  <c r="F68" i="1" s="1"/>
  <c r="AI71" i="1" s="1"/>
  <c r="I68" i="1"/>
  <c r="G68" i="1" a="1"/>
  <c r="G68" i="1" s="1"/>
  <c r="AJ71" i="1" s="1"/>
  <c r="AP72" i="1"/>
  <c r="D69" i="1" s="1"/>
  <c r="I69" i="1" s="1"/>
  <c r="AV73" i="1"/>
  <c r="L70" i="1"/>
  <c r="K70" i="1" s="1" a="1"/>
  <c r="K70" i="1" s="1"/>
  <c r="E68" i="1" l="1" a="1"/>
  <c r="E68" i="1" s="1"/>
  <c r="AP73" i="1"/>
  <c r="D70" i="1" s="1"/>
  <c r="H70" i="1" s="1"/>
  <c r="G69" i="1" a="1"/>
  <c r="G69" i="1" s="1"/>
  <c r="AJ72" i="1" s="1"/>
  <c r="F69" i="1" a="1"/>
  <c r="F69" i="1" s="1"/>
  <c r="AI72" i="1" s="1"/>
  <c r="H69" i="1"/>
  <c r="AV74" i="1"/>
  <c r="L71" i="1"/>
  <c r="K71" i="1" s="1" a="1"/>
  <c r="K71" i="1" s="1"/>
  <c r="AP74" i="1" l="1"/>
  <c r="D71" i="1" s="1"/>
  <c r="H71" i="1" s="1"/>
  <c r="E69" i="1" a="1"/>
  <c r="E69" i="1" s="1"/>
  <c r="G70" i="1" a="1"/>
  <c r="G70" i="1" s="1"/>
  <c r="AJ73" i="1" s="1"/>
  <c r="F70" i="1" a="1"/>
  <c r="F70" i="1" s="1"/>
  <c r="AI73" i="1" s="1"/>
  <c r="I70" i="1"/>
  <c r="AV75" i="1"/>
  <c r="L72" i="1"/>
  <c r="K72" i="1" s="1" a="1"/>
  <c r="K72" i="1" s="1"/>
  <c r="I71" i="1" l="1"/>
  <c r="G71" i="1" a="1"/>
  <c r="G71" i="1" s="1"/>
  <c r="AJ74" i="1" s="1"/>
  <c r="AP75" i="1"/>
  <c r="D72" i="1" s="1"/>
  <c r="H72" i="1" s="1"/>
  <c r="F71" i="1" a="1"/>
  <c r="F71" i="1" s="1"/>
  <c r="AI74" i="1" s="1"/>
  <c r="E70" i="1" a="1"/>
  <c r="E70" i="1" s="1"/>
  <c r="AV76" i="1"/>
  <c r="L73" i="1"/>
  <c r="K73" i="1" s="1" a="1"/>
  <c r="K73" i="1" s="1"/>
  <c r="E71" i="1" l="1" a="1"/>
  <c r="E71" i="1" s="1"/>
  <c r="G72" i="1" a="1"/>
  <c r="G72" i="1" s="1"/>
  <c r="AJ75" i="1" s="1"/>
  <c r="AP76" i="1"/>
  <c r="D73" i="1" s="1"/>
  <c r="H73" i="1" s="1"/>
  <c r="F72" i="1" a="1"/>
  <c r="F72" i="1" s="1"/>
  <c r="AI75" i="1" s="1"/>
  <c r="I72" i="1"/>
  <c r="AV77" i="1"/>
  <c r="L74" i="1"/>
  <c r="K74" i="1" s="1" a="1"/>
  <c r="K74" i="1" s="1"/>
  <c r="E72" i="1" l="1" a="1"/>
  <c r="E72" i="1" s="1"/>
  <c r="AP77" i="1"/>
  <c r="D74" i="1" s="1"/>
  <c r="H74" i="1" s="1"/>
  <c r="G73" i="1" a="1"/>
  <c r="G73" i="1" s="1"/>
  <c r="AJ76" i="1" s="1"/>
  <c r="F73" i="1" a="1"/>
  <c r="F73" i="1" s="1"/>
  <c r="AI76" i="1" s="1"/>
  <c r="I73" i="1"/>
  <c r="AV78" i="1"/>
  <c r="L75" i="1"/>
  <c r="K75" i="1" s="1" a="1"/>
  <c r="K75" i="1" s="1"/>
  <c r="E73" i="1" l="1" a="1"/>
  <c r="E73" i="1" s="1"/>
  <c r="AP78" i="1"/>
  <c r="D75" i="1" s="1"/>
  <c r="G75" i="1" s="1" a="1"/>
  <c r="G75" i="1" s="1"/>
  <c r="AJ78" i="1" s="1"/>
  <c r="G74" i="1" a="1"/>
  <c r="G74" i="1" s="1"/>
  <c r="AJ77" i="1" s="1"/>
  <c r="F74" i="1" a="1"/>
  <c r="F74" i="1" s="1"/>
  <c r="AI77" i="1" s="1"/>
  <c r="I74" i="1"/>
  <c r="AV79" i="1"/>
  <c r="L76" i="1"/>
  <c r="K76" i="1" s="1" a="1"/>
  <c r="K76" i="1" s="1"/>
  <c r="H75" i="1" l="1"/>
  <c r="E74" i="1" a="1"/>
  <c r="E74" i="1" s="1"/>
  <c r="AP79" i="1"/>
  <c r="D76" i="1" s="1"/>
  <c r="F76" i="1" s="1" a="1"/>
  <c r="F76" i="1" s="1"/>
  <c r="AI79" i="1" s="1"/>
  <c r="F75" i="1" a="1"/>
  <c r="F75" i="1" s="1"/>
  <c r="AI78" i="1" s="1"/>
  <c r="E75" i="1" s="1" a="1"/>
  <c r="E75" i="1" s="1"/>
  <c r="I75" i="1"/>
  <c r="AV80" i="1"/>
  <c r="L77" i="1"/>
  <c r="K77" i="1" s="1" a="1"/>
  <c r="K77" i="1" s="1"/>
  <c r="AP80" i="1" l="1"/>
  <c r="D77" i="1" s="1"/>
  <c r="G77" i="1" s="1" a="1"/>
  <c r="G77" i="1" s="1"/>
  <c r="AJ80" i="1" s="1"/>
  <c r="I76" i="1"/>
  <c r="H76" i="1"/>
  <c r="G76" i="1" a="1"/>
  <c r="G76" i="1" s="1"/>
  <c r="AJ79" i="1" s="1"/>
  <c r="E76" i="1" s="1" a="1"/>
  <c r="E76" i="1" s="1"/>
  <c r="AV81" i="1"/>
  <c r="L78" i="1"/>
  <c r="K78" i="1" s="1" a="1"/>
  <c r="K78" i="1" s="1"/>
  <c r="H77" i="1" l="1"/>
  <c r="F77" i="1" a="1"/>
  <c r="F77" i="1" s="1"/>
  <c r="AI80" i="1" s="1"/>
  <c r="E77" i="1" s="1" a="1"/>
  <c r="E77" i="1" s="1"/>
  <c r="I77" i="1"/>
  <c r="AP81" i="1"/>
  <c r="D78" i="1" s="1"/>
  <c r="I78" i="1" s="1"/>
  <c r="AV82" i="1"/>
  <c r="L79" i="1"/>
  <c r="K79" i="1" s="1" a="1"/>
  <c r="K79" i="1" s="1"/>
  <c r="H78" i="1" l="1"/>
  <c r="G78" i="1" a="1"/>
  <c r="G78" i="1" s="1"/>
  <c r="AJ81" i="1" s="1"/>
  <c r="F78" i="1" a="1"/>
  <c r="F78" i="1" s="1"/>
  <c r="AI81" i="1" s="1"/>
  <c r="AP82" i="1"/>
  <c r="D79" i="1" s="1"/>
  <c r="F79" i="1" s="1" a="1"/>
  <c r="F79" i="1" s="1"/>
  <c r="AI82" i="1" s="1"/>
  <c r="AV83" i="1"/>
  <c r="L80" i="1"/>
  <c r="K80" i="1" s="1" a="1"/>
  <c r="K80" i="1" s="1"/>
  <c r="E78" i="1" l="1" a="1"/>
  <c r="E78" i="1" s="1"/>
  <c r="H79" i="1"/>
  <c r="I79" i="1"/>
  <c r="AP83" i="1"/>
  <c r="D80" i="1" s="1"/>
  <c r="G80" i="1" s="1" a="1"/>
  <c r="G80" i="1" s="1"/>
  <c r="AJ83" i="1" s="1"/>
  <c r="G79" i="1" a="1"/>
  <c r="G79" i="1" s="1"/>
  <c r="AJ82" i="1" s="1"/>
  <c r="E79" i="1" s="1" a="1"/>
  <c r="E79" i="1" s="1"/>
  <c r="AV84" i="1"/>
  <c r="L81" i="1"/>
  <c r="K81" i="1" s="1" a="1"/>
  <c r="K81" i="1" s="1"/>
  <c r="F80" i="1" l="1" a="1"/>
  <c r="F80" i="1" s="1"/>
  <c r="AI83" i="1" s="1"/>
  <c r="E80" i="1" s="1" a="1"/>
  <c r="E80" i="1" s="1"/>
  <c r="I80" i="1"/>
  <c r="H80" i="1"/>
  <c r="AP84" i="1"/>
  <c r="D81" i="1" s="1"/>
  <c r="G81" i="1" s="1" a="1"/>
  <c r="G81" i="1" s="1"/>
  <c r="AJ84" i="1" s="1"/>
  <c r="AV85" i="1"/>
  <c r="L82" i="1"/>
  <c r="K82" i="1" s="1" a="1"/>
  <c r="K82" i="1" s="1"/>
  <c r="H81" i="1" l="1"/>
  <c r="I81" i="1"/>
  <c r="F81" i="1" a="1"/>
  <c r="F81" i="1" s="1"/>
  <c r="AI84" i="1" s="1"/>
  <c r="E81" i="1" s="1" a="1"/>
  <c r="E81" i="1" s="1"/>
  <c r="AP85" i="1"/>
  <c r="D82" i="1" s="1"/>
  <c r="H82" i="1" s="1"/>
  <c r="AV86" i="1"/>
  <c r="L83" i="1"/>
  <c r="K83" i="1" s="1" a="1"/>
  <c r="K83" i="1" s="1"/>
  <c r="F82" i="1" l="1" a="1"/>
  <c r="F82" i="1" s="1"/>
  <c r="AI85" i="1" s="1"/>
  <c r="G82" i="1" a="1"/>
  <c r="G82" i="1" s="1"/>
  <c r="AJ85" i="1" s="1"/>
  <c r="I82" i="1"/>
  <c r="AP86" i="1"/>
  <c r="D83" i="1" s="1"/>
  <c r="F83" i="1" s="1" a="1"/>
  <c r="F83" i="1" s="1"/>
  <c r="AI86" i="1" s="1"/>
  <c r="AV87" i="1"/>
  <c r="L84" i="1"/>
  <c r="K84" i="1" s="1" a="1"/>
  <c r="K84" i="1" s="1"/>
  <c r="E82" i="1" l="1" a="1"/>
  <c r="E82" i="1" s="1"/>
  <c r="I83" i="1"/>
  <c r="H83" i="1"/>
  <c r="AP87" i="1"/>
  <c r="D84" i="1" s="1"/>
  <c r="G83" i="1" a="1"/>
  <c r="G83" i="1" s="1"/>
  <c r="AJ86" i="1" s="1"/>
  <c r="E83" i="1" s="1" a="1"/>
  <c r="E83" i="1" s="1"/>
  <c r="AV88" i="1"/>
  <c r="L85" i="1"/>
  <c r="K85" i="1" s="1" a="1"/>
  <c r="K85" i="1" s="1"/>
  <c r="H84" i="1" l="1"/>
  <c r="AP88" i="1"/>
  <c r="AP89" i="1" s="1"/>
  <c r="G84" i="1" a="1"/>
  <c r="G84" i="1" s="1"/>
  <c r="AJ87" i="1" s="1"/>
  <c r="F84" i="1" a="1"/>
  <c r="F84" i="1" s="1"/>
  <c r="AI87" i="1" s="1"/>
  <c r="I84" i="1"/>
  <c r="AV89" i="1"/>
  <c r="L86" i="1"/>
  <c r="K86" i="1" s="1" a="1"/>
  <c r="K86" i="1" s="1"/>
  <c r="E84" i="1" l="1" a="1"/>
  <c r="E84" i="1" s="1"/>
  <c r="D85" i="1"/>
  <c r="D86" i="1"/>
  <c r="AV90" i="1"/>
  <c r="L87" i="1"/>
  <c r="K87" i="1" s="1" a="1"/>
  <c r="K87" i="1" s="1"/>
  <c r="AP90" i="1"/>
  <c r="I86" i="1" l="1"/>
  <c r="I85" i="1"/>
  <c r="G85" i="1" a="1"/>
  <c r="G85" i="1" s="1"/>
  <c r="AJ88" i="1" s="1"/>
  <c r="H85" i="1"/>
  <c r="F85" i="1" a="1"/>
  <c r="F85" i="1" s="1"/>
  <c r="AI88" i="1" s="1"/>
  <c r="H86" i="1"/>
  <c r="F86" i="1" a="1"/>
  <c r="F86" i="1" s="1"/>
  <c r="AI89" i="1" s="1"/>
  <c r="G86" i="1" a="1"/>
  <c r="G86" i="1" s="1"/>
  <c r="AJ89" i="1" s="1"/>
  <c r="D87" i="1"/>
  <c r="AV91" i="1"/>
  <c r="L88" i="1"/>
  <c r="K88" i="1" s="1" a="1"/>
  <c r="K88" i="1" s="1"/>
  <c r="AP91" i="1"/>
  <c r="E85" i="1" l="1" a="1"/>
  <c r="E85" i="1" s="1"/>
  <c r="E86" i="1" a="1"/>
  <c r="E86" i="1" s="1"/>
  <c r="I87" i="1"/>
  <c r="F87" i="1" a="1"/>
  <c r="F87" i="1" s="1"/>
  <c r="AI90" i="1" s="1"/>
  <c r="H87" i="1"/>
  <c r="G87" i="1" a="1"/>
  <c r="G87" i="1" s="1"/>
  <c r="AJ90" i="1" s="1"/>
  <c r="D88" i="1"/>
  <c r="AV92" i="1"/>
  <c r="L89" i="1"/>
  <c r="K89" i="1" s="1" a="1"/>
  <c r="K89" i="1" s="1"/>
  <c r="AP92" i="1"/>
  <c r="E87" i="1" l="1" a="1"/>
  <c r="E87" i="1" s="1"/>
  <c r="I88" i="1"/>
  <c r="F88" i="1" a="1"/>
  <c r="F88" i="1" s="1"/>
  <c r="AI91" i="1" s="1"/>
  <c r="H88" i="1"/>
  <c r="G88" i="1" a="1"/>
  <c r="G88" i="1" s="1"/>
  <c r="AJ91" i="1" s="1"/>
  <c r="D89" i="1"/>
  <c r="AV93" i="1"/>
  <c r="L90" i="1"/>
  <c r="K90" i="1" s="1" a="1"/>
  <c r="K90" i="1" s="1"/>
  <c r="AP93" i="1"/>
  <c r="E88" i="1" l="1" a="1"/>
  <c r="E88" i="1" s="1"/>
  <c r="I89" i="1"/>
  <c r="F89" i="1" a="1"/>
  <c r="F89" i="1" s="1"/>
  <c r="AI92" i="1" s="1"/>
  <c r="H89" i="1"/>
  <c r="G89" i="1" a="1"/>
  <c r="G89" i="1" s="1"/>
  <c r="AJ92" i="1" s="1"/>
  <c r="D90" i="1"/>
  <c r="AV94" i="1"/>
  <c r="L91" i="1"/>
  <c r="K91" i="1" s="1" a="1"/>
  <c r="K91" i="1" s="1"/>
  <c r="AP94" i="1"/>
  <c r="E89" i="1" l="1" a="1"/>
  <c r="E89" i="1" s="1"/>
  <c r="I90" i="1"/>
  <c r="H90" i="1"/>
  <c r="G90" i="1" a="1"/>
  <c r="G90" i="1" s="1"/>
  <c r="AJ93" i="1" s="1"/>
  <c r="F90" i="1" a="1"/>
  <c r="F90" i="1" s="1"/>
  <c r="AI93" i="1" s="1"/>
  <c r="D91" i="1"/>
  <c r="AV95" i="1"/>
  <c r="L92" i="1"/>
  <c r="K92" i="1" s="1" a="1"/>
  <c r="K92" i="1" s="1"/>
  <c r="AP95" i="1"/>
  <c r="E90" i="1" l="1" a="1"/>
  <c r="E90" i="1" s="1"/>
  <c r="I91" i="1"/>
  <c r="H91" i="1"/>
  <c r="F91" i="1" a="1"/>
  <c r="F91" i="1" s="1"/>
  <c r="AI94" i="1" s="1"/>
  <c r="G91" i="1" a="1"/>
  <c r="G91" i="1" s="1"/>
  <c r="AJ94" i="1" s="1"/>
  <c r="D92" i="1"/>
  <c r="AV96" i="1"/>
  <c r="L93" i="1"/>
  <c r="K93" i="1" s="1" a="1"/>
  <c r="K93" i="1" s="1"/>
  <c r="AP96" i="1"/>
  <c r="E91" i="1" l="1" a="1"/>
  <c r="E91" i="1" s="1"/>
  <c r="I92" i="1"/>
  <c r="F92" i="1" a="1"/>
  <c r="F92" i="1" s="1"/>
  <c r="AI95" i="1" s="1"/>
  <c r="H92" i="1"/>
  <c r="G92" i="1" a="1"/>
  <c r="G92" i="1" s="1"/>
  <c r="AJ95" i="1" s="1"/>
  <c r="D93" i="1"/>
  <c r="AV97" i="1"/>
  <c r="L94" i="1"/>
  <c r="K94" i="1" s="1" a="1"/>
  <c r="K94" i="1" s="1"/>
  <c r="AP97" i="1"/>
  <c r="E92" i="1" l="1" a="1"/>
  <c r="E92" i="1" s="1"/>
  <c r="I93" i="1"/>
  <c r="H93" i="1"/>
  <c r="G93" i="1" a="1"/>
  <c r="G93" i="1" s="1"/>
  <c r="AJ96" i="1" s="1"/>
  <c r="F93" i="1" a="1"/>
  <c r="F93" i="1" s="1"/>
  <c r="AI96" i="1" s="1"/>
  <c r="D94" i="1"/>
  <c r="AV98" i="1"/>
  <c r="L95" i="1"/>
  <c r="K95" i="1" s="1" a="1"/>
  <c r="K95" i="1" s="1"/>
  <c r="AP98" i="1"/>
  <c r="E93" i="1" l="1" a="1"/>
  <c r="E93" i="1" s="1"/>
  <c r="I94" i="1"/>
  <c r="H94" i="1"/>
  <c r="F94" i="1" a="1"/>
  <c r="F94" i="1" s="1"/>
  <c r="AI97" i="1" s="1"/>
  <c r="G94" i="1" a="1"/>
  <c r="G94" i="1" s="1"/>
  <c r="AJ97" i="1" s="1"/>
  <c r="D95" i="1"/>
  <c r="AV99" i="1"/>
  <c r="L96" i="1"/>
  <c r="K96" i="1" s="1" a="1"/>
  <c r="K96" i="1" s="1"/>
  <c r="AP99" i="1"/>
  <c r="E94" i="1" l="1" a="1"/>
  <c r="E94" i="1" s="1"/>
  <c r="I95" i="1"/>
  <c r="F95" i="1" a="1"/>
  <c r="F95" i="1" s="1"/>
  <c r="AI98" i="1" s="1"/>
  <c r="H95" i="1"/>
  <c r="D96" i="1"/>
  <c r="G95" i="1" a="1"/>
  <c r="G95" i="1" s="1"/>
  <c r="AJ98" i="1" s="1"/>
  <c r="AV100" i="1"/>
  <c r="L97" i="1"/>
  <c r="K97" i="1" s="1" a="1"/>
  <c r="K97" i="1" s="1"/>
  <c r="AP100" i="1"/>
  <c r="E95" i="1" l="1" a="1"/>
  <c r="E95" i="1" s="1"/>
  <c r="I96" i="1"/>
  <c r="F96" i="1" a="1"/>
  <c r="F96" i="1" s="1"/>
  <c r="AI99" i="1" s="1"/>
  <c r="H96" i="1"/>
  <c r="G96" i="1" a="1"/>
  <c r="G96" i="1" s="1"/>
  <c r="AJ99" i="1" s="1"/>
  <c r="D97" i="1"/>
  <c r="AV101" i="1"/>
  <c r="L98" i="1"/>
  <c r="K98" i="1" s="1" a="1"/>
  <c r="K98" i="1" s="1"/>
  <c r="AP101" i="1"/>
  <c r="E96" i="1" l="1" a="1"/>
  <c r="E96" i="1" s="1"/>
  <c r="I97" i="1"/>
  <c r="H97" i="1"/>
  <c r="G97" i="1" a="1"/>
  <c r="G97" i="1" s="1"/>
  <c r="AJ100" i="1" s="1"/>
  <c r="F97" i="1" a="1"/>
  <c r="F97" i="1" s="1"/>
  <c r="AI100" i="1" s="1"/>
  <c r="D98" i="1"/>
  <c r="AV102" i="1"/>
  <c r="L99" i="1"/>
  <c r="K99" i="1" s="1" a="1"/>
  <c r="K99" i="1" s="1"/>
  <c r="AP102" i="1"/>
  <c r="E97" i="1" l="1" a="1"/>
  <c r="E97" i="1" s="1"/>
  <c r="I98" i="1"/>
  <c r="F98" i="1" a="1"/>
  <c r="F98" i="1" s="1"/>
  <c r="AI101" i="1" s="1"/>
  <c r="H98" i="1"/>
  <c r="D99" i="1"/>
  <c r="G98" i="1" a="1"/>
  <c r="G98" i="1" s="1"/>
  <c r="AJ101" i="1" s="1"/>
  <c r="AV103" i="1"/>
  <c r="L100" i="1"/>
  <c r="K100" i="1" s="1" a="1"/>
  <c r="K100" i="1" s="1"/>
  <c r="AP103" i="1"/>
  <c r="E98" i="1" l="1" a="1"/>
  <c r="E98" i="1" s="1"/>
  <c r="I99" i="1"/>
  <c r="H99" i="1"/>
  <c r="G99" i="1" a="1"/>
  <c r="G99" i="1" s="1"/>
  <c r="AJ102" i="1" s="1"/>
  <c r="F99" i="1" a="1"/>
  <c r="F99" i="1" s="1"/>
  <c r="AI102" i="1" s="1"/>
  <c r="D100" i="1"/>
  <c r="AV104" i="1"/>
  <c r="L101" i="1"/>
  <c r="K101" i="1" s="1" a="1"/>
  <c r="K101" i="1" s="1"/>
  <c r="AP104" i="1"/>
  <c r="E99" i="1" l="1" a="1"/>
  <c r="E99" i="1" s="1"/>
  <c r="I100" i="1"/>
  <c r="F100" i="1" a="1"/>
  <c r="F100" i="1" s="1"/>
  <c r="AI103" i="1" s="1"/>
  <c r="H100" i="1"/>
  <c r="G100" i="1" a="1"/>
  <c r="G100" i="1" s="1"/>
  <c r="AJ103" i="1" s="1"/>
  <c r="D101" i="1"/>
  <c r="AV105" i="1"/>
  <c r="L102" i="1"/>
  <c r="K102" i="1" s="1" a="1"/>
  <c r="K102" i="1" s="1"/>
  <c r="AP105" i="1"/>
  <c r="E100" i="1" l="1" a="1"/>
  <c r="E100" i="1" s="1"/>
  <c r="I101" i="1"/>
  <c r="H101" i="1"/>
  <c r="G101" i="1" a="1"/>
  <c r="G101" i="1" s="1"/>
  <c r="AJ104" i="1" s="1"/>
  <c r="F101" i="1" a="1"/>
  <c r="F101" i="1" s="1"/>
  <c r="AI104" i="1" s="1"/>
  <c r="D102" i="1"/>
  <c r="AV106" i="1"/>
  <c r="L103" i="1"/>
  <c r="K103" i="1" s="1" a="1"/>
  <c r="K103" i="1" s="1"/>
  <c r="AP106" i="1"/>
  <c r="E101" i="1" l="1" a="1"/>
  <c r="E101" i="1" s="1"/>
  <c r="I102" i="1"/>
  <c r="F102" i="1" a="1"/>
  <c r="F102" i="1" s="1"/>
  <c r="AI105" i="1" s="1"/>
  <c r="H102" i="1"/>
  <c r="D103" i="1"/>
  <c r="G102" i="1" a="1"/>
  <c r="G102" i="1" s="1"/>
  <c r="AJ105" i="1" s="1"/>
  <c r="AV107" i="1"/>
  <c r="L104" i="1"/>
  <c r="K104" i="1" s="1" a="1"/>
  <c r="K104" i="1" s="1"/>
  <c r="AP107" i="1"/>
  <c r="E102" i="1" l="1" a="1"/>
  <c r="E102" i="1" s="1"/>
  <c r="I103" i="1"/>
  <c r="G103" i="1" a="1"/>
  <c r="G103" i="1" s="1"/>
  <c r="AJ106" i="1" s="1"/>
  <c r="H103" i="1"/>
  <c r="F103" i="1" a="1"/>
  <c r="F103" i="1" s="1"/>
  <c r="AI106" i="1" s="1"/>
  <c r="D104" i="1"/>
  <c r="AV108" i="1"/>
  <c r="L105" i="1"/>
  <c r="K105" i="1" s="1" a="1"/>
  <c r="K105" i="1" s="1"/>
  <c r="AP108" i="1"/>
  <c r="E103" i="1" l="1" a="1"/>
  <c r="E103" i="1" s="1"/>
  <c r="I104" i="1"/>
  <c r="H104" i="1"/>
  <c r="F104" i="1" a="1"/>
  <c r="F104" i="1" s="1"/>
  <c r="AI107" i="1" s="1"/>
  <c r="G104" i="1" a="1"/>
  <c r="G104" i="1" s="1"/>
  <c r="AJ107" i="1" s="1"/>
  <c r="D105" i="1"/>
  <c r="AV109" i="1"/>
  <c r="L106" i="1"/>
  <c r="K106" i="1" s="1" a="1"/>
  <c r="K106" i="1" s="1"/>
  <c r="AP109" i="1"/>
  <c r="E104" i="1" l="1" a="1"/>
  <c r="E104" i="1" s="1"/>
  <c r="I105" i="1"/>
  <c r="F105" i="1" a="1"/>
  <c r="F105" i="1" s="1"/>
  <c r="AI108" i="1" s="1"/>
  <c r="H105" i="1"/>
  <c r="G105" i="1" a="1"/>
  <c r="G105" i="1" s="1"/>
  <c r="AJ108" i="1" s="1"/>
  <c r="D106" i="1"/>
  <c r="AV110" i="1"/>
  <c r="L107" i="1"/>
  <c r="K107" i="1" s="1" a="1"/>
  <c r="K107" i="1" s="1"/>
  <c r="AP110" i="1"/>
  <c r="E105" i="1" l="1" a="1"/>
  <c r="E105" i="1" s="1"/>
  <c r="I106" i="1"/>
  <c r="F106" i="1" a="1"/>
  <c r="F106" i="1" s="1"/>
  <c r="AI109" i="1" s="1"/>
  <c r="H106" i="1"/>
  <c r="G106" i="1" a="1"/>
  <c r="G106" i="1" s="1"/>
  <c r="AJ109" i="1" s="1"/>
  <c r="D107" i="1"/>
  <c r="AV111" i="1"/>
  <c r="L108" i="1"/>
  <c r="K108" i="1" s="1" a="1"/>
  <c r="K108" i="1" s="1"/>
  <c r="AP111" i="1"/>
  <c r="E106" i="1" l="1" a="1"/>
  <c r="E106" i="1" s="1"/>
  <c r="I107" i="1"/>
  <c r="G107" i="1" a="1"/>
  <c r="G107" i="1" s="1"/>
  <c r="AJ110" i="1" s="1"/>
  <c r="F107" i="1" a="1"/>
  <c r="F107" i="1" s="1"/>
  <c r="AI110" i="1" s="1"/>
  <c r="H107" i="1"/>
  <c r="D108" i="1"/>
  <c r="AV112" i="1"/>
  <c r="L109" i="1"/>
  <c r="K109" i="1" s="1" a="1"/>
  <c r="K109" i="1" s="1"/>
  <c r="AP112" i="1"/>
  <c r="E107" i="1" l="1" a="1"/>
  <c r="E107" i="1" s="1"/>
  <c r="I108" i="1"/>
  <c r="F108" i="1" a="1"/>
  <c r="F108" i="1" s="1"/>
  <c r="AI111" i="1" s="1"/>
  <c r="H108" i="1"/>
  <c r="G108" i="1" a="1"/>
  <c r="G108" i="1" s="1"/>
  <c r="AJ111" i="1" s="1"/>
  <c r="D109" i="1"/>
  <c r="AV113" i="1"/>
  <c r="L110" i="1"/>
  <c r="K110" i="1" s="1" a="1"/>
  <c r="K110" i="1" s="1"/>
  <c r="AP113" i="1"/>
  <c r="E108" i="1" l="1" a="1"/>
  <c r="E108" i="1" s="1"/>
  <c r="I109" i="1"/>
  <c r="F109" i="1" a="1"/>
  <c r="F109" i="1" s="1"/>
  <c r="AI112" i="1" s="1"/>
  <c r="H109" i="1"/>
  <c r="G109" i="1" a="1"/>
  <c r="G109" i="1" s="1"/>
  <c r="AJ112" i="1" s="1"/>
  <c r="D110" i="1"/>
  <c r="AV114" i="1"/>
  <c r="L111" i="1"/>
  <c r="K111" i="1" s="1" a="1"/>
  <c r="K111" i="1" s="1"/>
  <c r="AP114" i="1"/>
  <c r="E109" i="1" l="1" a="1"/>
  <c r="E109" i="1" s="1"/>
  <c r="I110" i="1"/>
  <c r="F110" i="1" a="1"/>
  <c r="F110" i="1" s="1"/>
  <c r="AI113" i="1" s="1"/>
  <c r="G110" i="1" a="1"/>
  <c r="G110" i="1" s="1"/>
  <c r="AJ113" i="1" s="1"/>
  <c r="H110" i="1"/>
  <c r="D111" i="1"/>
  <c r="AV115" i="1"/>
  <c r="L112" i="1"/>
  <c r="K112" i="1" s="1" a="1"/>
  <c r="K112" i="1" s="1"/>
  <c r="AP115" i="1"/>
  <c r="E110" i="1" l="1" a="1"/>
  <c r="E110" i="1" s="1"/>
  <c r="I111" i="1"/>
  <c r="H111" i="1"/>
  <c r="G111" i="1" a="1"/>
  <c r="G111" i="1" s="1"/>
  <c r="AJ114" i="1" s="1"/>
  <c r="F111" i="1" a="1"/>
  <c r="F111" i="1" s="1"/>
  <c r="AI114" i="1" s="1"/>
  <c r="D112" i="1"/>
  <c r="AV116" i="1"/>
  <c r="L113" i="1"/>
  <c r="K113" i="1" s="1" a="1"/>
  <c r="K113" i="1" s="1"/>
  <c r="AP116" i="1"/>
  <c r="E111" i="1" l="1" a="1"/>
  <c r="E111" i="1" s="1"/>
  <c r="I112" i="1"/>
  <c r="H112" i="1"/>
  <c r="G112" i="1" a="1"/>
  <c r="G112" i="1" s="1"/>
  <c r="AJ115" i="1" s="1"/>
  <c r="F112" i="1" a="1"/>
  <c r="F112" i="1" s="1"/>
  <c r="AI115" i="1" s="1"/>
  <c r="D113" i="1"/>
  <c r="AV117" i="1"/>
  <c r="L114" i="1"/>
  <c r="K114" i="1" s="1" a="1"/>
  <c r="K114" i="1" s="1"/>
  <c r="AP117" i="1"/>
  <c r="E112" i="1" l="1" a="1"/>
  <c r="E112" i="1" s="1"/>
  <c r="I113" i="1"/>
  <c r="G113" i="1" a="1"/>
  <c r="G113" i="1" s="1"/>
  <c r="AJ116" i="1" s="1"/>
  <c r="H113" i="1"/>
  <c r="F113" i="1" a="1"/>
  <c r="F113" i="1" s="1"/>
  <c r="AI116" i="1" s="1"/>
  <c r="D114" i="1"/>
  <c r="AV118" i="1"/>
  <c r="L115" i="1"/>
  <c r="K115" i="1" s="1" a="1"/>
  <c r="K115" i="1" s="1"/>
  <c r="AP118" i="1"/>
  <c r="E113" i="1" l="1" a="1"/>
  <c r="E113" i="1" s="1"/>
  <c r="I114" i="1"/>
  <c r="F114" i="1" a="1"/>
  <c r="F114" i="1" s="1"/>
  <c r="AI117" i="1" s="1"/>
  <c r="H114" i="1"/>
  <c r="G114" i="1" a="1"/>
  <c r="G114" i="1" s="1"/>
  <c r="AJ117" i="1" s="1"/>
  <c r="D115" i="1"/>
  <c r="AV119" i="1"/>
  <c r="L116" i="1"/>
  <c r="K116" i="1" s="1" a="1"/>
  <c r="K116" i="1" s="1"/>
  <c r="AP119" i="1"/>
  <c r="E114" i="1" l="1" a="1"/>
  <c r="E114" i="1" s="1"/>
  <c r="I115" i="1"/>
  <c r="F115" i="1" a="1"/>
  <c r="F115" i="1" s="1"/>
  <c r="AI118" i="1" s="1"/>
  <c r="H115" i="1"/>
  <c r="G115" i="1" a="1"/>
  <c r="G115" i="1" s="1"/>
  <c r="AJ118" i="1" s="1"/>
  <c r="D116" i="1"/>
  <c r="AV120" i="1"/>
  <c r="L117" i="1"/>
  <c r="K117" i="1" s="1" a="1"/>
  <c r="K117" i="1" s="1"/>
  <c r="AP120" i="1"/>
  <c r="E115" i="1" l="1" a="1"/>
  <c r="E115" i="1" s="1"/>
  <c r="I116" i="1"/>
  <c r="G116" i="1" a="1"/>
  <c r="G116" i="1" s="1"/>
  <c r="AJ119" i="1" s="1"/>
  <c r="H116" i="1"/>
  <c r="F116" i="1" a="1"/>
  <c r="F116" i="1" s="1"/>
  <c r="AI119" i="1" s="1"/>
  <c r="D117" i="1"/>
  <c r="AV121" i="1"/>
  <c r="L118" i="1"/>
  <c r="K118" i="1" s="1" a="1"/>
  <c r="K118" i="1" s="1"/>
  <c r="AP121" i="1"/>
  <c r="E116" i="1" l="1" a="1"/>
  <c r="E116" i="1" s="1"/>
  <c r="I117" i="1"/>
  <c r="F117" i="1" a="1"/>
  <c r="F117" i="1" s="1"/>
  <c r="AI120" i="1" s="1"/>
  <c r="H117" i="1"/>
  <c r="G117" i="1" a="1"/>
  <c r="G117" i="1" s="1"/>
  <c r="AJ120" i="1" s="1"/>
  <c r="D118" i="1"/>
  <c r="AV122" i="1"/>
  <c r="L119" i="1"/>
  <c r="K119" i="1" s="1" a="1"/>
  <c r="K119" i="1" s="1"/>
  <c r="AP122" i="1"/>
  <c r="E117" i="1" l="1" a="1"/>
  <c r="E117" i="1" s="1"/>
  <c r="I118" i="1"/>
  <c r="F118" i="1" a="1"/>
  <c r="F118" i="1" s="1"/>
  <c r="AI121" i="1" s="1"/>
  <c r="H118" i="1"/>
  <c r="G118" i="1" a="1"/>
  <c r="G118" i="1" s="1"/>
  <c r="AJ121" i="1" s="1"/>
  <c r="D119" i="1"/>
  <c r="AV123" i="1"/>
  <c r="L120" i="1"/>
  <c r="K120" i="1" s="1" a="1"/>
  <c r="K120" i="1" s="1"/>
  <c r="AP123" i="1"/>
  <c r="E118" i="1" l="1" a="1"/>
  <c r="E118" i="1" s="1"/>
  <c r="I119" i="1"/>
  <c r="F119" i="1" a="1"/>
  <c r="F119" i="1" s="1"/>
  <c r="AI122" i="1" s="1"/>
  <c r="H119" i="1"/>
  <c r="G119" i="1" a="1"/>
  <c r="G119" i="1" s="1"/>
  <c r="AJ122" i="1" s="1"/>
  <c r="D120" i="1"/>
  <c r="AV124" i="1"/>
  <c r="L121" i="1"/>
  <c r="K121" i="1" s="1" a="1"/>
  <c r="K121" i="1" s="1"/>
  <c r="AP124" i="1"/>
  <c r="E119" i="1" l="1" a="1"/>
  <c r="E119" i="1" s="1"/>
  <c r="I120" i="1"/>
  <c r="F120" i="1" a="1"/>
  <c r="F120" i="1" s="1"/>
  <c r="AI123" i="1" s="1"/>
  <c r="H120" i="1"/>
  <c r="D121" i="1"/>
  <c r="G120" i="1" a="1"/>
  <c r="G120" i="1" s="1"/>
  <c r="AJ123" i="1" s="1"/>
  <c r="AV125" i="1"/>
  <c r="L122" i="1"/>
  <c r="K122" i="1" s="1" a="1"/>
  <c r="K122" i="1" s="1"/>
  <c r="AP125" i="1"/>
  <c r="E120" i="1" l="1" a="1"/>
  <c r="E120" i="1" s="1"/>
  <c r="I121" i="1"/>
  <c r="F121" i="1" a="1"/>
  <c r="F121" i="1" s="1"/>
  <c r="AI124" i="1" s="1"/>
  <c r="H121" i="1"/>
  <c r="G121" i="1" a="1"/>
  <c r="G121" i="1" s="1"/>
  <c r="AJ124" i="1" s="1"/>
  <c r="D122" i="1"/>
  <c r="AV126" i="1"/>
  <c r="L123" i="1"/>
  <c r="K123" i="1" s="1" a="1"/>
  <c r="K123" i="1" s="1"/>
  <c r="AP126" i="1"/>
  <c r="E121" i="1" l="1" a="1"/>
  <c r="E121" i="1" s="1"/>
  <c r="I122" i="1"/>
  <c r="F122" i="1" a="1"/>
  <c r="F122" i="1" s="1"/>
  <c r="AI125" i="1" s="1"/>
  <c r="H122" i="1"/>
  <c r="G122" i="1" a="1"/>
  <c r="G122" i="1" s="1"/>
  <c r="AJ125" i="1" s="1"/>
  <c r="D123" i="1"/>
  <c r="AV127" i="1"/>
  <c r="L124" i="1"/>
  <c r="K124" i="1" s="1" a="1"/>
  <c r="K124" i="1" s="1"/>
  <c r="AP127" i="1"/>
  <c r="E122" i="1" l="1" a="1"/>
  <c r="E122" i="1" s="1"/>
  <c r="I123" i="1"/>
  <c r="F123" i="1" a="1"/>
  <c r="F123" i="1" s="1"/>
  <c r="AI126" i="1" s="1"/>
  <c r="H123" i="1"/>
  <c r="G123" i="1" a="1"/>
  <c r="G123" i="1" s="1"/>
  <c r="AJ126" i="1" s="1"/>
  <c r="D124" i="1"/>
  <c r="AV128" i="1"/>
  <c r="L125" i="1"/>
  <c r="K125" i="1" s="1" a="1"/>
  <c r="K125" i="1" s="1"/>
  <c r="AP128" i="1"/>
  <c r="E123" i="1" l="1" a="1"/>
  <c r="E123" i="1" s="1"/>
  <c r="I124" i="1"/>
  <c r="F124" i="1" a="1"/>
  <c r="F124" i="1" s="1"/>
  <c r="AI127" i="1" s="1"/>
  <c r="H124" i="1"/>
  <c r="G124" i="1" a="1"/>
  <c r="G124" i="1" s="1"/>
  <c r="AJ127" i="1" s="1"/>
  <c r="D125" i="1"/>
  <c r="AV129" i="1"/>
  <c r="L126" i="1"/>
  <c r="K126" i="1" s="1" a="1"/>
  <c r="K126" i="1" s="1"/>
  <c r="AP129" i="1"/>
  <c r="E124" i="1" l="1" a="1"/>
  <c r="E124" i="1" s="1"/>
  <c r="I125" i="1"/>
  <c r="F125" i="1" a="1"/>
  <c r="F125" i="1" s="1"/>
  <c r="AI128" i="1" s="1"/>
  <c r="G125" i="1" a="1"/>
  <c r="G125" i="1" s="1"/>
  <c r="AJ128" i="1" s="1"/>
  <c r="H125" i="1"/>
  <c r="D126" i="1"/>
  <c r="AV130" i="1"/>
  <c r="L127" i="1"/>
  <c r="K127" i="1" s="1" a="1"/>
  <c r="K127" i="1" s="1"/>
  <c r="AP130" i="1"/>
  <c r="E125" i="1" l="1" a="1"/>
  <c r="E125" i="1" s="1"/>
  <c r="I126" i="1"/>
  <c r="F126" i="1" a="1"/>
  <c r="F126" i="1" s="1"/>
  <c r="AI129" i="1" s="1"/>
  <c r="H126" i="1"/>
  <c r="G126" i="1" a="1"/>
  <c r="G126" i="1" s="1"/>
  <c r="AJ129" i="1" s="1"/>
  <c r="D127" i="1"/>
  <c r="AV131" i="1"/>
  <c r="L128" i="1"/>
  <c r="K128" i="1" s="1" a="1"/>
  <c r="K128" i="1" s="1"/>
  <c r="AP131" i="1"/>
  <c r="E126" i="1" l="1" a="1"/>
  <c r="E126" i="1" s="1"/>
  <c r="I127" i="1"/>
  <c r="F127" i="1" a="1"/>
  <c r="F127" i="1" s="1"/>
  <c r="AI130" i="1" s="1"/>
  <c r="H127" i="1"/>
  <c r="G127" i="1" a="1"/>
  <c r="G127" i="1" s="1"/>
  <c r="AJ130" i="1" s="1"/>
  <c r="D128" i="1"/>
  <c r="AV132" i="1"/>
  <c r="L129" i="1"/>
  <c r="K129" i="1" s="1" a="1"/>
  <c r="K129" i="1" s="1"/>
  <c r="AP132" i="1"/>
  <c r="E127" i="1" l="1" a="1"/>
  <c r="E127" i="1" s="1"/>
  <c r="I128" i="1"/>
  <c r="F128" i="1" a="1"/>
  <c r="F128" i="1" s="1"/>
  <c r="AI131" i="1" s="1"/>
  <c r="H128" i="1"/>
  <c r="G128" i="1" a="1"/>
  <c r="G128" i="1" s="1"/>
  <c r="AJ131" i="1" s="1"/>
  <c r="D129" i="1"/>
  <c r="AV133" i="1"/>
  <c r="L130" i="1"/>
  <c r="K130" i="1" s="1" a="1"/>
  <c r="K130" i="1" s="1"/>
  <c r="AP133" i="1"/>
  <c r="E128" i="1" l="1" a="1"/>
  <c r="E128" i="1" s="1"/>
  <c r="I129" i="1"/>
  <c r="G129" i="1" a="1"/>
  <c r="G129" i="1" s="1"/>
  <c r="AJ132" i="1" s="1"/>
  <c r="F129" i="1" a="1"/>
  <c r="F129" i="1" s="1"/>
  <c r="AI132" i="1" s="1"/>
  <c r="H129" i="1"/>
  <c r="D130" i="1"/>
  <c r="AV134" i="1"/>
  <c r="L131" i="1"/>
  <c r="K131" i="1" s="1" a="1"/>
  <c r="K131" i="1" s="1"/>
  <c r="AP134" i="1"/>
  <c r="E129" i="1" l="1" a="1"/>
  <c r="E129" i="1" s="1"/>
  <c r="I130" i="1"/>
  <c r="H130" i="1"/>
  <c r="G130" i="1" a="1"/>
  <c r="G130" i="1" s="1"/>
  <c r="AJ133" i="1" s="1"/>
  <c r="F130" i="1" a="1"/>
  <c r="F130" i="1" s="1"/>
  <c r="AI133" i="1" s="1"/>
  <c r="D131" i="1"/>
  <c r="AV135" i="1"/>
  <c r="L132" i="1"/>
  <c r="K132" i="1" s="1" a="1"/>
  <c r="K132" i="1" s="1"/>
  <c r="AP135" i="1"/>
  <c r="E130" i="1" l="1" a="1"/>
  <c r="E130" i="1" s="1"/>
  <c r="I131" i="1"/>
  <c r="F131" i="1" a="1"/>
  <c r="F131" i="1" s="1"/>
  <c r="AI134" i="1" s="1"/>
  <c r="G131" i="1" a="1"/>
  <c r="G131" i="1" s="1"/>
  <c r="AJ134" i="1" s="1"/>
  <c r="H131" i="1"/>
  <c r="D132" i="1"/>
  <c r="AV136" i="1"/>
  <c r="L133" i="1"/>
  <c r="K133" i="1" s="1" a="1"/>
  <c r="K133" i="1" s="1"/>
  <c r="AP136" i="1"/>
  <c r="E131" i="1" l="1" a="1"/>
  <c r="E131" i="1" s="1"/>
  <c r="I132" i="1"/>
  <c r="F132" i="1" a="1"/>
  <c r="F132" i="1" s="1"/>
  <c r="AI135" i="1" s="1"/>
  <c r="H132" i="1"/>
  <c r="G132" i="1" a="1"/>
  <c r="G132" i="1" s="1"/>
  <c r="AJ135" i="1" s="1"/>
  <c r="D133" i="1"/>
  <c r="AV137" i="1"/>
  <c r="L134" i="1"/>
  <c r="K134" i="1" s="1" a="1"/>
  <c r="K134" i="1" s="1"/>
  <c r="AP137" i="1"/>
  <c r="E132" i="1" l="1" a="1"/>
  <c r="E132" i="1" s="1"/>
  <c r="I133" i="1"/>
  <c r="G133" i="1" a="1"/>
  <c r="G133" i="1" s="1"/>
  <c r="AJ136" i="1" s="1"/>
  <c r="F133" i="1" a="1"/>
  <c r="F133" i="1" s="1"/>
  <c r="AI136" i="1" s="1"/>
  <c r="H133" i="1"/>
  <c r="D134" i="1"/>
  <c r="AV138" i="1"/>
  <c r="L135" i="1"/>
  <c r="K135" i="1" s="1" a="1"/>
  <c r="K135" i="1" s="1"/>
  <c r="AP138" i="1"/>
  <c r="E133" i="1" l="1" a="1"/>
  <c r="E133" i="1" s="1"/>
  <c r="I134" i="1"/>
  <c r="F134" i="1" a="1"/>
  <c r="F134" i="1" s="1"/>
  <c r="AI137" i="1" s="1"/>
  <c r="H134" i="1"/>
  <c r="G134" i="1" a="1"/>
  <c r="G134" i="1" s="1"/>
  <c r="AJ137" i="1" s="1"/>
  <c r="D135" i="1"/>
  <c r="AV139" i="1"/>
  <c r="L136" i="1"/>
  <c r="K136" i="1" s="1" a="1"/>
  <c r="K136" i="1" s="1"/>
  <c r="AP139" i="1"/>
  <c r="E134" i="1" l="1" a="1"/>
  <c r="E134" i="1" s="1"/>
  <c r="I135" i="1"/>
  <c r="H135" i="1"/>
  <c r="G135" i="1" a="1"/>
  <c r="G135" i="1" s="1"/>
  <c r="AJ138" i="1" s="1"/>
  <c r="F135" i="1" a="1"/>
  <c r="F135" i="1" s="1"/>
  <c r="AI138" i="1" s="1"/>
  <c r="D136" i="1"/>
  <c r="AV140" i="1"/>
  <c r="L137" i="1"/>
  <c r="K137" i="1" s="1" a="1"/>
  <c r="K137" i="1" s="1"/>
  <c r="AP140" i="1"/>
  <c r="E135" i="1" l="1" a="1"/>
  <c r="E135" i="1" s="1"/>
  <c r="I136" i="1"/>
  <c r="H136" i="1"/>
  <c r="F136" i="1" a="1"/>
  <c r="F136" i="1" s="1"/>
  <c r="AI139" i="1" s="1"/>
  <c r="G136" i="1" a="1"/>
  <c r="G136" i="1" s="1"/>
  <c r="AJ139" i="1" s="1"/>
  <c r="D137" i="1"/>
  <c r="AV141" i="1"/>
  <c r="L138" i="1"/>
  <c r="K138" i="1" s="1" a="1"/>
  <c r="K138" i="1" s="1"/>
  <c r="AP141" i="1"/>
  <c r="E136" i="1" l="1" a="1"/>
  <c r="E136" i="1" s="1"/>
  <c r="I137" i="1"/>
  <c r="H137" i="1"/>
  <c r="G137" i="1" a="1"/>
  <c r="G137" i="1" s="1"/>
  <c r="AJ140" i="1" s="1"/>
  <c r="F137" i="1" a="1"/>
  <c r="F137" i="1" s="1"/>
  <c r="AI140" i="1" s="1"/>
  <c r="D138" i="1"/>
  <c r="AV142" i="1"/>
  <c r="L139" i="1"/>
  <c r="K139" i="1" s="1" a="1"/>
  <c r="K139" i="1" s="1"/>
  <c r="AP142" i="1"/>
  <c r="E137" i="1" l="1" a="1"/>
  <c r="E137" i="1" s="1"/>
  <c r="I138" i="1"/>
  <c r="H138" i="1"/>
  <c r="F138" i="1" a="1"/>
  <c r="F138" i="1" s="1"/>
  <c r="AI141" i="1" s="1"/>
  <c r="G138" i="1" a="1"/>
  <c r="G138" i="1" s="1"/>
  <c r="AJ141" i="1" s="1"/>
  <c r="D139" i="1"/>
  <c r="AV143" i="1"/>
  <c r="L140" i="1"/>
  <c r="K140" i="1" s="1" a="1"/>
  <c r="K140" i="1" s="1"/>
  <c r="AP143" i="1"/>
  <c r="E138" i="1" l="1" a="1"/>
  <c r="E138" i="1" s="1"/>
  <c r="I139" i="1"/>
  <c r="F139" i="1" a="1"/>
  <c r="F139" i="1" s="1"/>
  <c r="AI142" i="1" s="1"/>
  <c r="G139" i="1" a="1"/>
  <c r="G139" i="1" s="1"/>
  <c r="AJ142" i="1" s="1"/>
  <c r="H139" i="1"/>
  <c r="D140" i="1"/>
  <c r="AV144" i="1"/>
  <c r="L141" i="1"/>
  <c r="K141" i="1" s="1" a="1"/>
  <c r="K141" i="1" s="1"/>
  <c r="AP144" i="1"/>
  <c r="E139" i="1" l="1" a="1"/>
  <c r="E139" i="1" s="1"/>
  <c r="I140" i="1"/>
  <c r="H140" i="1"/>
  <c r="G140" i="1" a="1"/>
  <c r="G140" i="1" s="1"/>
  <c r="AJ143" i="1" s="1"/>
  <c r="F140" i="1" a="1"/>
  <c r="F140" i="1" s="1"/>
  <c r="AI143" i="1" s="1"/>
  <c r="D141" i="1"/>
  <c r="AV145" i="1"/>
  <c r="L142" i="1"/>
  <c r="K142" i="1" s="1" a="1"/>
  <c r="K142" i="1" s="1"/>
  <c r="AP145" i="1"/>
  <c r="E140" i="1" l="1" a="1"/>
  <c r="E140" i="1" s="1"/>
  <c r="I141" i="1"/>
  <c r="H141" i="1"/>
  <c r="G141" i="1" a="1"/>
  <c r="G141" i="1" s="1"/>
  <c r="AJ144" i="1" s="1"/>
  <c r="F141" i="1" a="1"/>
  <c r="F141" i="1" s="1"/>
  <c r="AI144" i="1" s="1"/>
  <c r="D142" i="1"/>
  <c r="AV146" i="1"/>
  <c r="L143" i="1"/>
  <c r="K143" i="1" s="1" a="1"/>
  <c r="K143" i="1" s="1"/>
  <c r="AP146" i="1"/>
  <c r="E141" i="1" l="1" a="1"/>
  <c r="E141" i="1" s="1"/>
  <c r="I142" i="1"/>
  <c r="H142" i="1"/>
  <c r="G142" i="1" a="1"/>
  <c r="G142" i="1" s="1"/>
  <c r="AJ145" i="1" s="1"/>
  <c r="F142" i="1" a="1"/>
  <c r="F142" i="1" s="1"/>
  <c r="AI145" i="1" s="1"/>
  <c r="D143" i="1"/>
  <c r="AV147" i="1"/>
  <c r="L144" i="1"/>
  <c r="K144" i="1" s="1" a="1"/>
  <c r="K144" i="1" s="1"/>
  <c r="AP147" i="1"/>
  <c r="E142" i="1" l="1" a="1"/>
  <c r="E142" i="1" s="1"/>
  <c r="I143" i="1"/>
  <c r="F143" i="1" a="1"/>
  <c r="F143" i="1" s="1"/>
  <c r="AI146" i="1" s="1"/>
  <c r="G143" i="1" a="1"/>
  <c r="G143" i="1" s="1"/>
  <c r="AJ146" i="1" s="1"/>
  <c r="H143" i="1"/>
  <c r="D144" i="1"/>
  <c r="AV148" i="1"/>
  <c r="L145" i="1"/>
  <c r="K145" i="1" s="1" a="1"/>
  <c r="K145" i="1" s="1"/>
  <c r="AP148" i="1"/>
  <c r="E143" i="1" l="1" a="1"/>
  <c r="E143" i="1" s="1"/>
  <c r="I144" i="1"/>
  <c r="F144" i="1" a="1"/>
  <c r="F144" i="1" s="1"/>
  <c r="AI147" i="1" s="1"/>
  <c r="H144" i="1"/>
  <c r="D145" i="1"/>
  <c r="G144" i="1" a="1"/>
  <c r="G144" i="1" s="1"/>
  <c r="AJ147" i="1" s="1"/>
  <c r="AV149" i="1"/>
  <c r="L146" i="1"/>
  <c r="K146" i="1" s="1" a="1"/>
  <c r="K146" i="1" s="1"/>
  <c r="AP149" i="1"/>
  <c r="E144" i="1" l="1" a="1"/>
  <c r="E144" i="1" s="1"/>
  <c r="I145" i="1"/>
  <c r="H145" i="1"/>
  <c r="G145" i="1" a="1"/>
  <c r="G145" i="1" s="1"/>
  <c r="AJ148" i="1" s="1"/>
  <c r="F145" i="1" a="1"/>
  <c r="F145" i="1" s="1"/>
  <c r="AI148" i="1" s="1"/>
  <c r="D146" i="1"/>
  <c r="AV150" i="1"/>
  <c r="L147" i="1"/>
  <c r="K147" i="1" s="1" a="1"/>
  <c r="K147" i="1" s="1"/>
  <c r="AP150" i="1"/>
  <c r="E145" i="1" l="1" a="1"/>
  <c r="E145" i="1" s="1"/>
  <c r="I146" i="1"/>
  <c r="F146" i="1" a="1"/>
  <c r="F146" i="1" s="1"/>
  <c r="AI149" i="1" s="1"/>
  <c r="H146" i="1"/>
  <c r="D147" i="1"/>
  <c r="G146" i="1" a="1"/>
  <c r="G146" i="1" s="1"/>
  <c r="AJ149" i="1" s="1"/>
  <c r="AV151" i="1"/>
  <c r="L148" i="1"/>
  <c r="K148" i="1" s="1" a="1"/>
  <c r="K148" i="1" s="1"/>
  <c r="AP151" i="1"/>
  <c r="E146" i="1" l="1" a="1"/>
  <c r="E146" i="1" s="1"/>
  <c r="I147" i="1"/>
  <c r="H147" i="1"/>
  <c r="G147" i="1" a="1"/>
  <c r="G147" i="1" s="1"/>
  <c r="AJ150" i="1" s="1"/>
  <c r="F147" i="1" a="1"/>
  <c r="F147" i="1" s="1"/>
  <c r="AI150" i="1" s="1"/>
  <c r="D148" i="1"/>
  <c r="AV152" i="1"/>
  <c r="L149" i="1"/>
  <c r="K149" i="1" s="1" a="1"/>
  <c r="K149" i="1" s="1"/>
  <c r="AP152" i="1"/>
  <c r="E147" i="1" l="1" a="1"/>
  <c r="E147" i="1" s="1"/>
  <c r="I148" i="1"/>
  <c r="F148" i="1" a="1"/>
  <c r="F148" i="1" s="1"/>
  <c r="AI151" i="1" s="1"/>
  <c r="H148" i="1"/>
  <c r="G148" i="1" a="1"/>
  <c r="G148" i="1" s="1"/>
  <c r="AJ151" i="1" s="1"/>
  <c r="D149" i="1"/>
  <c r="AV153" i="1"/>
  <c r="L150" i="1"/>
  <c r="K150" i="1" s="1" a="1"/>
  <c r="K150" i="1" s="1"/>
  <c r="AP153" i="1"/>
  <c r="E148" i="1" l="1" a="1"/>
  <c r="E148" i="1" s="1"/>
  <c r="I149" i="1"/>
  <c r="H149" i="1"/>
  <c r="G149" i="1" a="1"/>
  <c r="G149" i="1" s="1"/>
  <c r="AJ152" i="1" s="1"/>
  <c r="F149" i="1" a="1"/>
  <c r="F149" i="1" s="1"/>
  <c r="AI152" i="1" s="1"/>
  <c r="D150" i="1"/>
  <c r="AV154" i="1"/>
  <c r="L151" i="1"/>
  <c r="K151" i="1" s="1" a="1"/>
  <c r="K151" i="1" s="1"/>
  <c r="AP154" i="1"/>
  <c r="E149" i="1" l="1" a="1"/>
  <c r="E149" i="1" s="1"/>
  <c r="I150" i="1"/>
  <c r="F150" i="1" a="1"/>
  <c r="F150" i="1" s="1"/>
  <c r="AI153" i="1" s="1"/>
  <c r="H150" i="1"/>
  <c r="D151" i="1"/>
  <c r="G150" i="1" a="1"/>
  <c r="G150" i="1" s="1"/>
  <c r="AJ153" i="1" s="1"/>
  <c r="AV155" i="1"/>
  <c r="L152" i="1"/>
  <c r="K152" i="1" s="1" a="1"/>
  <c r="K152" i="1" s="1"/>
  <c r="AP155" i="1"/>
  <c r="E150" i="1" l="1" a="1"/>
  <c r="E150" i="1" s="1"/>
  <c r="I151" i="1"/>
  <c r="H151" i="1"/>
  <c r="G151" i="1" a="1"/>
  <c r="G151" i="1" s="1"/>
  <c r="AJ154" i="1" s="1"/>
  <c r="F151" i="1" a="1"/>
  <c r="F151" i="1" s="1"/>
  <c r="AI154" i="1" s="1"/>
  <c r="D152" i="1"/>
  <c r="AV156" i="1"/>
  <c r="L153" i="1"/>
  <c r="K153" i="1" s="1" a="1"/>
  <c r="K153" i="1" s="1"/>
  <c r="AP156" i="1"/>
  <c r="E151" i="1" l="1" a="1"/>
  <c r="E151" i="1" s="1"/>
  <c r="I152" i="1"/>
  <c r="F152" i="1" a="1"/>
  <c r="F152" i="1" s="1"/>
  <c r="AI155" i="1" s="1"/>
  <c r="H152" i="1"/>
  <c r="G152" i="1" a="1"/>
  <c r="G152" i="1" s="1"/>
  <c r="AJ155" i="1" s="1"/>
  <c r="D153" i="1"/>
  <c r="AV157" i="1"/>
  <c r="L154" i="1"/>
  <c r="K154" i="1" s="1" a="1"/>
  <c r="K154" i="1" s="1"/>
  <c r="AP157" i="1"/>
  <c r="E152" i="1" l="1" a="1"/>
  <c r="E152" i="1" s="1"/>
  <c r="I153" i="1"/>
  <c r="H153" i="1"/>
  <c r="G153" i="1" a="1"/>
  <c r="G153" i="1" s="1"/>
  <c r="AJ156" i="1" s="1"/>
  <c r="F153" i="1" a="1"/>
  <c r="F153" i="1" s="1"/>
  <c r="AI156" i="1" s="1"/>
  <c r="D154" i="1"/>
  <c r="AV158" i="1"/>
  <c r="L155" i="1"/>
  <c r="K155" i="1" s="1" a="1"/>
  <c r="K155" i="1" s="1"/>
  <c r="AP158" i="1"/>
  <c r="E153" i="1" l="1" a="1"/>
  <c r="E153" i="1" s="1"/>
  <c r="I154" i="1"/>
  <c r="F154" i="1" a="1"/>
  <c r="F154" i="1" s="1"/>
  <c r="AI157" i="1" s="1"/>
  <c r="H154" i="1"/>
  <c r="G154" i="1" a="1"/>
  <c r="G154" i="1" s="1"/>
  <c r="AJ157" i="1" s="1"/>
  <c r="D155" i="1"/>
  <c r="AV159" i="1"/>
  <c r="L156" i="1"/>
  <c r="K156" i="1" s="1" a="1"/>
  <c r="K156" i="1" s="1"/>
  <c r="AP159" i="1"/>
  <c r="E154" i="1" l="1" a="1"/>
  <c r="E154" i="1" s="1"/>
  <c r="I155" i="1"/>
  <c r="H155" i="1"/>
  <c r="G155" i="1" a="1"/>
  <c r="G155" i="1" s="1"/>
  <c r="AJ158" i="1" s="1"/>
  <c r="F155" i="1" a="1"/>
  <c r="F155" i="1" s="1"/>
  <c r="AI158" i="1" s="1"/>
  <c r="D156" i="1"/>
  <c r="AV160" i="1"/>
  <c r="L157" i="1"/>
  <c r="K157" i="1" s="1" a="1"/>
  <c r="K157" i="1" s="1"/>
  <c r="AP160" i="1"/>
  <c r="E155" i="1" l="1" a="1"/>
  <c r="E155" i="1" s="1"/>
  <c r="I156" i="1"/>
  <c r="F156" i="1" a="1"/>
  <c r="F156" i="1" s="1"/>
  <c r="AI159" i="1" s="1"/>
  <c r="H156" i="1"/>
  <c r="G156" i="1" a="1"/>
  <c r="G156" i="1" s="1"/>
  <c r="AJ159" i="1" s="1"/>
  <c r="D157" i="1"/>
  <c r="AV161" i="1"/>
  <c r="L158" i="1"/>
  <c r="K158" i="1" s="1" a="1"/>
  <c r="K158" i="1" s="1"/>
  <c r="AP161" i="1"/>
  <c r="E156" i="1" l="1" a="1"/>
  <c r="E156" i="1" s="1"/>
  <c r="I157" i="1"/>
  <c r="F157" i="1" a="1"/>
  <c r="F157" i="1" s="1"/>
  <c r="AI160" i="1" s="1"/>
  <c r="H157" i="1"/>
  <c r="G157" i="1" a="1"/>
  <c r="G157" i="1" s="1"/>
  <c r="AJ160" i="1" s="1"/>
  <c r="D158" i="1"/>
  <c r="AV162" i="1"/>
  <c r="L159" i="1"/>
  <c r="K159" i="1" s="1" a="1"/>
  <c r="K159" i="1" s="1"/>
  <c r="AP162" i="1"/>
  <c r="E157" i="1" l="1" a="1"/>
  <c r="E157" i="1" s="1"/>
  <c r="I158" i="1"/>
  <c r="H158" i="1"/>
  <c r="G158" i="1" a="1"/>
  <c r="G158" i="1" s="1"/>
  <c r="AJ161" i="1" s="1"/>
  <c r="F158" i="1" a="1"/>
  <c r="F158" i="1" s="1"/>
  <c r="AI161" i="1" s="1"/>
  <c r="D159" i="1"/>
  <c r="AV163" i="1"/>
  <c r="L160" i="1"/>
  <c r="K160" i="1" s="1" a="1"/>
  <c r="K160" i="1" s="1"/>
  <c r="AP163" i="1"/>
  <c r="E158" i="1" l="1" a="1"/>
  <c r="E158" i="1" s="1"/>
  <c r="I159" i="1"/>
  <c r="F159" i="1" a="1"/>
  <c r="F159" i="1" s="1"/>
  <c r="AI162" i="1" s="1"/>
  <c r="H159" i="1"/>
  <c r="G159" i="1" a="1"/>
  <c r="G159" i="1" s="1"/>
  <c r="AJ162" i="1" s="1"/>
  <c r="D160" i="1"/>
  <c r="AV164" i="1"/>
  <c r="L161" i="1"/>
  <c r="K161" i="1" s="1" a="1"/>
  <c r="K161" i="1" s="1"/>
  <c r="AP164" i="1"/>
  <c r="E159" i="1" l="1" a="1"/>
  <c r="E159" i="1" s="1"/>
  <c r="I160" i="1"/>
  <c r="H160" i="1"/>
  <c r="G160" i="1" a="1"/>
  <c r="G160" i="1" s="1"/>
  <c r="AJ163" i="1" s="1"/>
  <c r="F160" i="1" a="1"/>
  <c r="F160" i="1" s="1"/>
  <c r="AI163" i="1" s="1"/>
  <c r="D161" i="1"/>
  <c r="AV165" i="1"/>
  <c r="L162" i="1"/>
  <c r="K162" i="1" s="1" a="1"/>
  <c r="K162" i="1" s="1"/>
  <c r="AP165" i="1"/>
  <c r="E160" i="1" l="1" a="1"/>
  <c r="E160" i="1" s="1"/>
  <c r="I161" i="1"/>
  <c r="F161" i="1" a="1"/>
  <c r="F161" i="1" s="1"/>
  <c r="AI164" i="1" s="1"/>
  <c r="H161" i="1"/>
  <c r="G161" i="1" a="1"/>
  <c r="G161" i="1" s="1"/>
  <c r="AJ164" i="1" s="1"/>
  <c r="D162" i="1"/>
  <c r="AV166" i="1"/>
  <c r="L163" i="1"/>
  <c r="K163" i="1" s="1" a="1"/>
  <c r="K163" i="1" s="1"/>
  <c r="AP166" i="1"/>
  <c r="E161" i="1" l="1" a="1"/>
  <c r="E161" i="1" s="1"/>
  <c r="I162" i="1"/>
  <c r="H162" i="1"/>
  <c r="G162" i="1" a="1"/>
  <c r="G162" i="1" s="1"/>
  <c r="AJ165" i="1" s="1"/>
  <c r="F162" i="1" a="1"/>
  <c r="F162" i="1" s="1"/>
  <c r="AI165" i="1" s="1"/>
  <c r="D163" i="1"/>
  <c r="AV167" i="1"/>
  <c r="L164" i="1"/>
  <c r="K164" i="1" s="1" a="1"/>
  <c r="K164" i="1" s="1"/>
  <c r="AP167" i="1"/>
  <c r="E162" i="1" l="1" a="1"/>
  <c r="E162" i="1" s="1"/>
  <c r="I163" i="1"/>
  <c r="F163" i="1" a="1"/>
  <c r="F163" i="1" s="1"/>
  <c r="AI166" i="1" s="1"/>
  <c r="H163" i="1"/>
  <c r="G163" i="1" a="1"/>
  <c r="G163" i="1" s="1"/>
  <c r="AJ166" i="1" s="1"/>
  <c r="D164" i="1"/>
  <c r="AV168" i="1"/>
  <c r="L165" i="1"/>
  <c r="K165" i="1" s="1" a="1"/>
  <c r="K165" i="1" s="1"/>
  <c r="AP168" i="1"/>
  <c r="E163" i="1" l="1" a="1"/>
  <c r="E163" i="1" s="1"/>
  <c r="I164" i="1"/>
  <c r="H164" i="1"/>
  <c r="F164" i="1" a="1"/>
  <c r="F164" i="1" s="1"/>
  <c r="AI167" i="1" s="1"/>
  <c r="G164" i="1" a="1"/>
  <c r="G164" i="1" s="1"/>
  <c r="AJ167" i="1" s="1"/>
  <c r="D165" i="1"/>
  <c r="AV169" i="1"/>
  <c r="L166" i="1"/>
  <c r="K166" i="1" s="1" a="1"/>
  <c r="K166" i="1" s="1"/>
  <c r="AP169" i="1"/>
  <c r="E164" i="1" l="1" a="1"/>
  <c r="E164" i="1" s="1"/>
  <c r="I165" i="1"/>
  <c r="H165" i="1"/>
  <c r="G165" i="1" a="1"/>
  <c r="G165" i="1" s="1"/>
  <c r="AJ168" i="1" s="1"/>
  <c r="F165" i="1" a="1"/>
  <c r="F165" i="1" s="1"/>
  <c r="AI168" i="1" s="1"/>
  <c r="D166" i="1"/>
  <c r="AV170" i="1"/>
  <c r="L167" i="1"/>
  <c r="K167" i="1" s="1" a="1"/>
  <c r="K167" i="1" s="1"/>
  <c r="AP170" i="1"/>
  <c r="E165" i="1" l="1" a="1"/>
  <c r="E165" i="1" s="1"/>
  <c r="I166" i="1"/>
  <c r="H166" i="1"/>
  <c r="F166" i="1" a="1"/>
  <c r="F166" i="1" s="1"/>
  <c r="AI169" i="1" s="1"/>
  <c r="G166" i="1" a="1"/>
  <c r="G166" i="1" s="1"/>
  <c r="AJ169" i="1" s="1"/>
  <c r="D167" i="1"/>
  <c r="AV171" i="1"/>
  <c r="L168" i="1"/>
  <c r="K168" i="1" s="1" a="1"/>
  <c r="K168" i="1" s="1"/>
  <c r="AP171" i="1"/>
  <c r="E166" i="1" l="1" a="1"/>
  <c r="E166" i="1" s="1"/>
  <c r="I167" i="1"/>
  <c r="G167" i="1" a="1"/>
  <c r="G167" i="1" s="1"/>
  <c r="AJ170" i="1" s="1"/>
  <c r="H167" i="1"/>
  <c r="F167" i="1" a="1"/>
  <c r="F167" i="1" s="1"/>
  <c r="AI170" i="1" s="1"/>
  <c r="D168" i="1"/>
  <c r="AV172" i="1"/>
  <c r="L169" i="1"/>
  <c r="K169" i="1" s="1" a="1"/>
  <c r="K169" i="1" s="1"/>
  <c r="AP172" i="1"/>
  <c r="E167" i="1" l="1" a="1"/>
  <c r="E167" i="1" s="1"/>
  <c r="I168" i="1"/>
  <c r="F168" i="1" a="1"/>
  <c r="F168" i="1" s="1"/>
  <c r="AI171" i="1" s="1"/>
  <c r="H168" i="1"/>
  <c r="G168" i="1" a="1"/>
  <c r="G168" i="1" s="1"/>
  <c r="AJ171" i="1" s="1"/>
  <c r="D169" i="1"/>
  <c r="AV173" i="1"/>
  <c r="L170" i="1"/>
  <c r="K170" i="1" s="1" a="1"/>
  <c r="K170" i="1" s="1"/>
  <c r="AP173" i="1"/>
  <c r="E168" i="1" l="1" a="1"/>
  <c r="E168" i="1" s="1"/>
  <c r="I169" i="1"/>
  <c r="G169" i="1" a="1"/>
  <c r="G169" i="1" s="1"/>
  <c r="AJ172" i="1" s="1"/>
  <c r="H169" i="1"/>
  <c r="F169" i="1" a="1"/>
  <c r="F169" i="1" s="1"/>
  <c r="AI172" i="1" s="1"/>
  <c r="D170" i="1"/>
  <c r="AV174" i="1"/>
  <c r="L171" i="1"/>
  <c r="K171" i="1" s="1" a="1"/>
  <c r="K171" i="1" s="1"/>
  <c r="AP174" i="1"/>
  <c r="E169" i="1" l="1" a="1"/>
  <c r="E169" i="1" s="1"/>
  <c r="I170" i="1"/>
  <c r="H170" i="1"/>
  <c r="G170" i="1" a="1"/>
  <c r="G170" i="1" s="1"/>
  <c r="AJ173" i="1" s="1"/>
  <c r="F170" i="1" a="1"/>
  <c r="F170" i="1" s="1"/>
  <c r="AI173" i="1" s="1"/>
  <c r="D171" i="1"/>
  <c r="AV175" i="1"/>
  <c r="L172" i="1"/>
  <c r="K172" i="1" s="1" a="1"/>
  <c r="K172" i="1" s="1"/>
  <c r="AP175" i="1"/>
  <c r="E170" i="1" l="1" a="1"/>
  <c r="E170" i="1" s="1"/>
  <c r="I171" i="1"/>
  <c r="H171" i="1"/>
  <c r="G171" i="1" a="1"/>
  <c r="G171" i="1" s="1"/>
  <c r="AJ174" i="1" s="1"/>
  <c r="F171" i="1" a="1"/>
  <c r="F171" i="1" s="1"/>
  <c r="AI174" i="1" s="1"/>
  <c r="D172" i="1"/>
  <c r="AV176" i="1"/>
  <c r="L173" i="1"/>
  <c r="K173" i="1" s="1" a="1"/>
  <c r="K173" i="1" s="1"/>
  <c r="AP176" i="1"/>
  <c r="E171" i="1" l="1" a="1"/>
  <c r="E171" i="1" s="1"/>
  <c r="I172" i="1"/>
  <c r="G172" i="1" a="1"/>
  <c r="G172" i="1" s="1"/>
  <c r="AJ175" i="1" s="1"/>
  <c r="H172" i="1"/>
  <c r="F172" i="1" a="1"/>
  <c r="F172" i="1" s="1"/>
  <c r="AI175" i="1" s="1"/>
  <c r="D173" i="1"/>
  <c r="AV177" i="1"/>
  <c r="L174" i="1"/>
  <c r="K174" i="1" s="1" a="1"/>
  <c r="K174" i="1" s="1"/>
  <c r="AP177" i="1"/>
  <c r="E172" i="1" l="1" a="1"/>
  <c r="E172" i="1" s="1"/>
  <c r="I173" i="1"/>
  <c r="H173" i="1"/>
  <c r="G173" i="1" a="1"/>
  <c r="G173" i="1" s="1"/>
  <c r="AJ176" i="1" s="1"/>
  <c r="F173" i="1" a="1"/>
  <c r="F173" i="1" s="1"/>
  <c r="AI176" i="1" s="1"/>
  <c r="D174" i="1"/>
  <c r="AV178" i="1"/>
  <c r="L175" i="1"/>
  <c r="K175" i="1" s="1" a="1"/>
  <c r="K175" i="1" s="1"/>
  <c r="AP178" i="1"/>
  <c r="E173" i="1" l="1" a="1"/>
  <c r="E173" i="1" s="1"/>
  <c r="I174" i="1"/>
  <c r="F174" i="1" a="1"/>
  <c r="F174" i="1" s="1"/>
  <c r="AI177" i="1" s="1"/>
  <c r="H174" i="1"/>
  <c r="G174" i="1" a="1"/>
  <c r="G174" i="1" s="1"/>
  <c r="AJ177" i="1" s="1"/>
  <c r="D175" i="1"/>
  <c r="AV179" i="1"/>
  <c r="L176" i="1"/>
  <c r="K176" i="1" s="1" a="1"/>
  <c r="K176" i="1" s="1"/>
  <c r="AP179" i="1"/>
  <c r="E174" i="1" l="1" a="1"/>
  <c r="E174" i="1" s="1"/>
  <c r="I175" i="1"/>
  <c r="H175" i="1"/>
  <c r="F175" i="1" a="1"/>
  <c r="F175" i="1" s="1"/>
  <c r="AI178" i="1" s="1"/>
  <c r="G175" i="1" a="1"/>
  <c r="G175" i="1" s="1"/>
  <c r="AJ178" i="1" s="1"/>
  <c r="D176" i="1"/>
  <c r="AV180" i="1"/>
  <c r="L177" i="1"/>
  <c r="K177" i="1" s="1" a="1"/>
  <c r="K177" i="1" s="1"/>
  <c r="AP180" i="1"/>
  <c r="E175" i="1" l="1" a="1"/>
  <c r="E175" i="1" s="1"/>
  <c r="I176" i="1"/>
  <c r="H176" i="1"/>
  <c r="G176" i="1" a="1"/>
  <c r="G176" i="1" s="1"/>
  <c r="AJ179" i="1" s="1"/>
  <c r="F176" i="1" a="1"/>
  <c r="F176" i="1" s="1"/>
  <c r="AI179" i="1" s="1"/>
  <c r="D177" i="1"/>
  <c r="AV181" i="1"/>
  <c r="L178" i="1"/>
  <c r="K178" i="1" s="1" a="1"/>
  <c r="K178" i="1" s="1"/>
  <c r="AP181" i="1"/>
  <c r="E176" i="1" l="1" a="1"/>
  <c r="E176" i="1" s="1"/>
  <c r="I177" i="1"/>
  <c r="H177" i="1"/>
  <c r="F177" i="1" a="1"/>
  <c r="F177" i="1" s="1"/>
  <c r="AI180" i="1" s="1"/>
  <c r="G177" i="1" a="1"/>
  <c r="G177" i="1" s="1"/>
  <c r="AJ180" i="1" s="1"/>
  <c r="D178" i="1"/>
  <c r="AV182" i="1"/>
  <c r="L179" i="1"/>
  <c r="K179" i="1" s="1" a="1"/>
  <c r="K179" i="1" s="1"/>
  <c r="AP182" i="1"/>
  <c r="E177" i="1" l="1" a="1"/>
  <c r="E177" i="1" s="1"/>
  <c r="I178" i="1"/>
  <c r="H178" i="1"/>
  <c r="G178" i="1" a="1"/>
  <c r="G178" i="1" s="1"/>
  <c r="AJ181" i="1" s="1"/>
  <c r="F178" i="1" a="1"/>
  <c r="F178" i="1" s="1"/>
  <c r="AI181" i="1" s="1"/>
  <c r="D179" i="1"/>
  <c r="AV183" i="1"/>
  <c r="L180" i="1"/>
  <c r="K180" i="1" s="1" a="1"/>
  <c r="K180" i="1" s="1"/>
  <c r="AP183" i="1"/>
  <c r="E178" i="1" l="1" a="1"/>
  <c r="E178" i="1" s="1"/>
  <c r="I179" i="1"/>
  <c r="H179" i="1"/>
  <c r="F179" i="1" a="1"/>
  <c r="F179" i="1" s="1"/>
  <c r="AI182" i="1" s="1"/>
  <c r="G179" i="1" a="1"/>
  <c r="G179" i="1" s="1"/>
  <c r="AJ182" i="1" s="1"/>
  <c r="D180" i="1"/>
  <c r="AV184" i="1"/>
  <c r="L181" i="1"/>
  <c r="K181" i="1" s="1" a="1"/>
  <c r="K181" i="1" s="1"/>
  <c r="AP184" i="1"/>
  <c r="E179" i="1" l="1" a="1"/>
  <c r="E179" i="1" s="1"/>
  <c r="I180" i="1"/>
  <c r="H180" i="1"/>
  <c r="G180" i="1" a="1"/>
  <c r="G180" i="1" s="1"/>
  <c r="AJ183" i="1" s="1"/>
  <c r="F180" i="1" a="1"/>
  <c r="F180" i="1" s="1"/>
  <c r="AI183" i="1" s="1"/>
  <c r="D181" i="1"/>
  <c r="AV185" i="1"/>
  <c r="L182" i="1"/>
  <c r="K182" i="1" s="1" a="1"/>
  <c r="K182" i="1" s="1"/>
  <c r="AP185" i="1"/>
  <c r="E180" i="1" l="1" a="1"/>
  <c r="E180" i="1" s="1"/>
  <c r="I181" i="1"/>
  <c r="H181" i="1"/>
  <c r="F181" i="1" a="1"/>
  <c r="F181" i="1" s="1"/>
  <c r="AI184" i="1" s="1"/>
  <c r="G181" i="1" a="1"/>
  <c r="G181" i="1" s="1"/>
  <c r="AJ184" i="1" s="1"/>
  <c r="D182" i="1"/>
  <c r="AV186" i="1"/>
  <c r="L183" i="1"/>
  <c r="K183" i="1" s="1" a="1"/>
  <c r="K183" i="1" s="1"/>
  <c r="AP186" i="1"/>
  <c r="E181" i="1" l="1" a="1"/>
  <c r="E181" i="1" s="1"/>
  <c r="I182" i="1"/>
  <c r="G182" i="1" a="1"/>
  <c r="G182" i="1" s="1"/>
  <c r="AJ185" i="1" s="1"/>
  <c r="H182" i="1"/>
  <c r="F182" i="1" a="1"/>
  <c r="F182" i="1" s="1"/>
  <c r="AI185" i="1" s="1"/>
  <c r="D183" i="1"/>
  <c r="AV187" i="1"/>
  <c r="L184" i="1"/>
  <c r="K184" i="1" s="1" a="1"/>
  <c r="K184" i="1" s="1"/>
  <c r="AP187" i="1"/>
  <c r="E182" i="1" l="1" a="1"/>
  <c r="E182" i="1" s="1"/>
  <c r="I183" i="1"/>
  <c r="F183" i="1" a="1"/>
  <c r="F183" i="1" s="1"/>
  <c r="AI186" i="1" s="1"/>
  <c r="H183" i="1"/>
  <c r="G183" i="1" a="1"/>
  <c r="G183" i="1" s="1"/>
  <c r="AJ186" i="1" s="1"/>
  <c r="D184" i="1"/>
  <c r="AV188" i="1"/>
  <c r="L185" i="1"/>
  <c r="K185" i="1" s="1" a="1"/>
  <c r="K185" i="1" s="1"/>
  <c r="AP188" i="1"/>
  <c r="E183" i="1" l="1" a="1"/>
  <c r="E183" i="1" s="1"/>
  <c r="I184" i="1"/>
  <c r="G184" i="1" a="1"/>
  <c r="G184" i="1" s="1"/>
  <c r="AJ187" i="1" s="1"/>
  <c r="H184" i="1"/>
  <c r="F184" i="1" a="1"/>
  <c r="F184" i="1" s="1"/>
  <c r="AI187" i="1" s="1"/>
  <c r="D185" i="1"/>
  <c r="AV189" i="1"/>
  <c r="L186" i="1"/>
  <c r="K186" i="1" s="1" a="1"/>
  <c r="K186" i="1" s="1"/>
  <c r="AP189" i="1"/>
  <c r="E184" i="1" l="1" a="1"/>
  <c r="E184" i="1" s="1"/>
  <c r="I185" i="1"/>
  <c r="H185" i="1"/>
  <c r="G185" i="1" a="1"/>
  <c r="G185" i="1" s="1"/>
  <c r="AJ188" i="1" s="1"/>
  <c r="F185" i="1" a="1"/>
  <c r="F185" i="1" s="1"/>
  <c r="AI188" i="1" s="1"/>
  <c r="D186" i="1"/>
  <c r="AV190" i="1"/>
  <c r="L187" i="1"/>
  <c r="K187" i="1" s="1" a="1"/>
  <c r="K187" i="1" s="1"/>
  <c r="AP190" i="1"/>
  <c r="E185" i="1" l="1" a="1"/>
  <c r="E185" i="1" s="1"/>
  <c r="I186" i="1"/>
  <c r="F186" i="1" a="1"/>
  <c r="F186" i="1" s="1"/>
  <c r="AI189" i="1" s="1"/>
  <c r="H186" i="1"/>
  <c r="G186" i="1" a="1"/>
  <c r="G186" i="1" s="1"/>
  <c r="AJ189" i="1" s="1"/>
  <c r="D187" i="1"/>
  <c r="AV191" i="1"/>
  <c r="L188" i="1"/>
  <c r="K188" i="1" s="1" a="1"/>
  <c r="K188" i="1" s="1"/>
  <c r="AP191" i="1"/>
  <c r="E186" i="1" l="1" a="1"/>
  <c r="E186" i="1" s="1"/>
  <c r="I187" i="1"/>
  <c r="H187" i="1"/>
  <c r="F187" i="1" a="1"/>
  <c r="F187" i="1" s="1"/>
  <c r="AI190" i="1" s="1"/>
  <c r="G187" i="1" a="1"/>
  <c r="G187" i="1" s="1"/>
  <c r="AJ190" i="1" s="1"/>
  <c r="D188" i="1"/>
  <c r="AV192" i="1"/>
  <c r="L189" i="1"/>
  <c r="K189" i="1" s="1" a="1"/>
  <c r="K189" i="1" s="1"/>
  <c r="AP192" i="1"/>
  <c r="E187" i="1" l="1" a="1"/>
  <c r="E187" i="1" s="1"/>
  <c r="I188" i="1"/>
  <c r="H188" i="1"/>
  <c r="G188" i="1" a="1"/>
  <c r="G188" i="1" s="1"/>
  <c r="AJ191" i="1" s="1"/>
  <c r="F188" i="1" a="1"/>
  <c r="F188" i="1" s="1"/>
  <c r="AI191" i="1" s="1"/>
  <c r="D189" i="1"/>
  <c r="AV193" i="1"/>
  <c r="L190" i="1"/>
  <c r="K190" i="1" s="1" a="1"/>
  <c r="K190" i="1" s="1"/>
  <c r="AP193" i="1"/>
  <c r="E188" i="1" l="1" a="1"/>
  <c r="E188" i="1" s="1"/>
  <c r="I189" i="1"/>
  <c r="G189" i="1" a="1"/>
  <c r="G189" i="1" s="1"/>
  <c r="AJ192" i="1" s="1"/>
  <c r="F189" i="1" a="1"/>
  <c r="F189" i="1" s="1"/>
  <c r="AI192" i="1" s="1"/>
  <c r="H189" i="1"/>
  <c r="D190" i="1"/>
  <c r="AV194" i="1"/>
  <c r="L191" i="1"/>
  <c r="K191" i="1" s="1" a="1"/>
  <c r="K191" i="1" s="1"/>
  <c r="AP194" i="1"/>
  <c r="E189" i="1" l="1" a="1"/>
  <c r="E189" i="1" s="1"/>
  <c r="I190" i="1"/>
  <c r="H190" i="1"/>
  <c r="G190" i="1" a="1"/>
  <c r="G190" i="1" s="1"/>
  <c r="AJ193" i="1" s="1"/>
  <c r="F190" i="1" a="1"/>
  <c r="F190" i="1" s="1"/>
  <c r="AI193" i="1" s="1"/>
  <c r="D191" i="1"/>
  <c r="AV195" i="1"/>
  <c r="L192" i="1"/>
  <c r="K192" i="1" s="1" a="1"/>
  <c r="K192" i="1" s="1"/>
  <c r="AP195" i="1"/>
  <c r="E190" i="1" l="1" a="1"/>
  <c r="E190" i="1" s="1"/>
  <c r="I191" i="1"/>
  <c r="F191" i="1" a="1"/>
  <c r="F191" i="1" s="1"/>
  <c r="AI194" i="1" s="1"/>
  <c r="H191" i="1"/>
  <c r="G191" i="1" a="1"/>
  <c r="G191" i="1" s="1"/>
  <c r="AJ194" i="1" s="1"/>
  <c r="D192" i="1"/>
  <c r="AV196" i="1"/>
  <c r="L193" i="1"/>
  <c r="K193" i="1" s="1" a="1"/>
  <c r="K193" i="1" s="1"/>
  <c r="AP196" i="1"/>
  <c r="E191" i="1" l="1" a="1"/>
  <c r="E191" i="1" s="1"/>
  <c r="I192" i="1"/>
  <c r="G192" i="1" a="1"/>
  <c r="G192" i="1" s="1"/>
  <c r="AJ195" i="1" s="1"/>
  <c r="F192" i="1" a="1"/>
  <c r="F192" i="1" s="1"/>
  <c r="AI195" i="1" s="1"/>
  <c r="H192" i="1"/>
  <c r="D193" i="1"/>
  <c r="AV197" i="1"/>
  <c r="L194" i="1"/>
  <c r="K194" i="1" s="1" a="1"/>
  <c r="K194" i="1" s="1"/>
  <c r="AP197" i="1"/>
  <c r="E192" i="1" l="1" a="1"/>
  <c r="E192" i="1" s="1"/>
  <c r="I193" i="1"/>
  <c r="H193" i="1"/>
  <c r="G193" i="1" a="1"/>
  <c r="G193" i="1" s="1"/>
  <c r="AJ196" i="1" s="1"/>
  <c r="F193" i="1" a="1"/>
  <c r="F193" i="1" s="1"/>
  <c r="AI196" i="1" s="1"/>
  <c r="D194" i="1"/>
  <c r="AV198" i="1"/>
  <c r="L195" i="1"/>
  <c r="K195" i="1" s="1" a="1"/>
  <c r="K195" i="1" s="1"/>
  <c r="AP198" i="1"/>
  <c r="E193" i="1" l="1" a="1"/>
  <c r="E193" i="1" s="1"/>
  <c r="I194" i="1"/>
  <c r="H194" i="1"/>
  <c r="G194" i="1" a="1"/>
  <c r="G194" i="1" s="1"/>
  <c r="AJ197" i="1" s="1"/>
  <c r="F194" i="1" a="1"/>
  <c r="F194" i="1" s="1"/>
  <c r="AI197" i="1" s="1"/>
  <c r="D195" i="1"/>
  <c r="AV199" i="1"/>
  <c r="L196" i="1"/>
  <c r="K196" i="1" s="1" a="1"/>
  <c r="K196" i="1" s="1"/>
  <c r="AP199" i="1"/>
  <c r="E194" i="1" l="1" a="1"/>
  <c r="E194" i="1" s="1"/>
  <c r="I195" i="1"/>
  <c r="F195" i="1" a="1"/>
  <c r="F195" i="1" s="1"/>
  <c r="AI198" i="1" s="1"/>
  <c r="H195" i="1"/>
  <c r="G195" i="1" a="1"/>
  <c r="G195" i="1" s="1"/>
  <c r="AJ198" i="1" s="1"/>
  <c r="D196" i="1"/>
  <c r="AV200" i="1"/>
  <c r="L197" i="1"/>
  <c r="K197" i="1" s="1" a="1"/>
  <c r="K197" i="1" s="1"/>
  <c r="AP200" i="1"/>
  <c r="E195" i="1" l="1" a="1"/>
  <c r="E195" i="1" s="1"/>
  <c r="I196" i="1"/>
  <c r="F196" i="1" a="1"/>
  <c r="F196" i="1" s="1"/>
  <c r="AI199" i="1" s="1"/>
  <c r="H196" i="1"/>
  <c r="G196" i="1" a="1"/>
  <c r="G196" i="1" s="1"/>
  <c r="AJ199" i="1" s="1"/>
  <c r="D197" i="1"/>
  <c r="AV201" i="1"/>
  <c r="L198" i="1"/>
  <c r="K198" i="1" s="1" a="1"/>
  <c r="K198" i="1" s="1"/>
  <c r="AP201" i="1"/>
  <c r="E196" i="1" l="1" a="1"/>
  <c r="E196" i="1" s="1"/>
  <c r="I197" i="1"/>
  <c r="G197" i="1" a="1"/>
  <c r="G197" i="1" s="1"/>
  <c r="AJ200" i="1" s="1"/>
  <c r="H197" i="1"/>
  <c r="F197" i="1" a="1"/>
  <c r="F197" i="1" s="1"/>
  <c r="AI200" i="1" s="1"/>
  <c r="D198" i="1"/>
  <c r="AV202" i="1"/>
  <c r="L199" i="1"/>
  <c r="K199" i="1" s="1" a="1"/>
  <c r="K199" i="1" s="1"/>
  <c r="AP202" i="1"/>
  <c r="E197" i="1" l="1" a="1"/>
  <c r="E197" i="1" s="1"/>
  <c r="I198" i="1"/>
  <c r="G198" i="1" a="1"/>
  <c r="G198" i="1" s="1"/>
  <c r="AJ201" i="1" s="1"/>
  <c r="H198" i="1"/>
  <c r="F198" i="1" a="1"/>
  <c r="F198" i="1" s="1"/>
  <c r="AI201" i="1" s="1"/>
  <c r="D199" i="1"/>
  <c r="AV203" i="1"/>
  <c r="L200" i="1"/>
  <c r="K200" i="1" s="1" a="1"/>
  <c r="K200" i="1" s="1"/>
  <c r="AP203" i="1"/>
  <c r="E198" i="1" l="1" a="1"/>
  <c r="E198" i="1" s="1"/>
  <c r="I199" i="1"/>
  <c r="H199" i="1"/>
  <c r="F199" i="1" a="1"/>
  <c r="F199" i="1" s="1"/>
  <c r="AI202" i="1" s="1"/>
  <c r="G199" i="1" a="1"/>
  <c r="G199" i="1" s="1"/>
  <c r="AJ202" i="1" s="1"/>
  <c r="D200" i="1"/>
  <c r="AV204" i="1"/>
  <c r="L201" i="1"/>
  <c r="K201" i="1" s="1" a="1"/>
  <c r="K201" i="1" s="1"/>
  <c r="AP204" i="1"/>
  <c r="E199" i="1" l="1" a="1"/>
  <c r="E199" i="1" s="1"/>
  <c r="I200" i="1"/>
  <c r="G200" i="1" a="1"/>
  <c r="G200" i="1" s="1"/>
  <c r="AJ203" i="1" s="1"/>
  <c r="F200" i="1" a="1"/>
  <c r="F200" i="1" s="1"/>
  <c r="AI203" i="1" s="1"/>
  <c r="H200" i="1"/>
  <c r="D201" i="1"/>
  <c r="AV205" i="1"/>
  <c r="L202" i="1"/>
  <c r="K202" i="1" s="1" a="1"/>
  <c r="K202" i="1" s="1"/>
  <c r="AP205" i="1"/>
  <c r="E200" i="1" l="1" a="1"/>
  <c r="E200" i="1" s="1"/>
  <c r="I201" i="1"/>
  <c r="H201" i="1"/>
  <c r="G201" i="1" a="1"/>
  <c r="G201" i="1" s="1"/>
  <c r="AJ204" i="1" s="1"/>
  <c r="F201" i="1" a="1"/>
  <c r="F201" i="1" s="1"/>
  <c r="AI204" i="1" s="1"/>
  <c r="D202" i="1"/>
  <c r="AV206" i="1"/>
  <c r="L203" i="1"/>
  <c r="K203" i="1" s="1" a="1"/>
  <c r="K203" i="1" s="1"/>
  <c r="AP206" i="1"/>
  <c r="E201" i="1" l="1" a="1"/>
  <c r="E201" i="1" s="1"/>
  <c r="I202" i="1"/>
  <c r="H202" i="1"/>
  <c r="G202" i="1" a="1"/>
  <c r="G202" i="1" s="1"/>
  <c r="AJ205" i="1" s="1"/>
  <c r="F202" i="1" a="1"/>
  <c r="F202" i="1" s="1"/>
  <c r="AI205" i="1" s="1"/>
  <c r="D203" i="1"/>
  <c r="AV207" i="1"/>
  <c r="L204" i="1"/>
  <c r="K204" i="1" s="1" a="1"/>
  <c r="K204" i="1" s="1"/>
  <c r="AP207" i="1"/>
  <c r="E202" i="1" l="1" a="1"/>
  <c r="E202" i="1" s="1"/>
  <c r="I203" i="1"/>
  <c r="H203" i="1"/>
  <c r="G203" i="1" a="1"/>
  <c r="G203" i="1" s="1"/>
  <c r="AJ206" i="1" s="1"/>
  <c r="F203" i="1" a="1"/>
  <c r="F203" i="1" s="1"/>
  <c r="AI206" i="1" s="1"/>
  <c r="D204" i="1"/>
  <c r="AV208" i="1"/>
  <c r="L205" i="1"/>
  <c r="K205" i="1" s="1" a="1"/>
  <c r="K205" i="1" s="1"/>
  <c r="AP208" i="1"/>
  <c r="E203" i="1" l="1" a="1"/>
  <c r="E203" i="1" s="1"/>
  <c r="I204" i="1"/>
  <c r="H204" i="1"/>
  <c r="G204" i="1" a="1"/>
  <c r="G204" i="1" s="1"/>
  <c r="AJ207" i="1" s="1"/>
  <c r="F204" i="1" a="1"/>
  <c r="F204" i="1" s="1"/>
  <c r="AI207" i="1" s="1"/>
  <c r="D205" i="1"/>
  <c r="AV209" i="1"/>
  <c r="L206" i="1"/>
  <c r="K206" i="1" s="1" a="1"/>
  <c r="K206" i="1" s="1"/>
  <c r="AP209" i="1"/>
  <c r="E204" i="1" l="1" a="1"/>
  <c r="E204" i="1" s="1"/>
  <c r="I205" i="1"/>
  <c r="H205" i="1"/>
  <c r="F205" i="1" a="1"/>
  <c r="F205" i="1" s="1"/>
  <c r="AI208" i="1" s="1"/>
  <c r="G205" i="1" a="1"/>
  <c r="G205" i="1" s="1"/>
  <c r="AJ208" i="1" s="1"/>
  <c r="D206" i="1"/>
  <c r="AV210" i="1"/>
  <c r="L207" i="1"/>
  <c r="K207" i="1" s="1" a="1"/>
  <c r="K207" i="1" s="1"/>
  <c r="AP210" i="1"/>
  <c r="E205" i="1" l="1" a="1"/>
  <c r="E205" i="1" s="1"/>
  <c r="I206" i="1"/>
  <c r="H206" i="1"/>
  <c r="G206" i="1" a="1"/>
  <c r="G206" i="1" s="1"/>
  <c r="AJ209" i="1" s="1"/>
  <c r="F206" i="1" a="1"/>
  <c r="F206" i="1" s="1"/>
  <c r="AI209" i="1" s="1"/>
  <c r="D207" i="1"/>
  <c r="AV211" i="1"/>
  <c r="L208" i="1"/>
  <c r="K208" i="1" s="1" a="1"/>
  <c r="K208" i="1" s="1"/>
  <c r="AP211" i="1"/>
  <c r="E206" i="1" l="1" a="1"/>
  <c r="E206" i="1" s="1"/>
  <c r="I207" i="1"/>
  <c r="F207" i="1" a="1"/>
  <c r="F207" i="1" s="1"/>
  <c r="AI210" i="1" s="1"/>
  <c r="H207" i="1"/>
  <c r="G207" i="1" a="1"/>
  <c r="G207" i="1" s="1"/>
  <c r="AJ210" i="1" s="1"/>
  <c r="D208" i="1"/>
  <c r="AV212" i="1"/>
  <c r="L209" i="1"/>
  <c r="K209" i="1" s="1" a="1"/>
  <c r="K209" i="1" s="1"/>
  <c r="AP212" i="1"/>
  <c r="E207" i="1" l="1" a="1"/>
  <c r="E207" i="1" s="1"/>
  <c r="I208" i="1"/>
  <c r="G208" i="1" a="1"/>
  <c r="G208" i="1" s="1"/>
  <c r="AJ211" i="1" s="1"/>
  <c r="H208" i="1"/>
  <c r="F208" i="1" a="1"/>
  <c r="F208" i="1" s="1"/>
  <c r="AI211" i="1" s="1"/>
  <c r="D209" i="1"/>
  <c r="AV213" i="1"/>
  <c r="L210" i="1"/>
  <c r="K210" i="1" s="1" a="1"/>
  <c r="K210" i="1" s="1"/>
  <c r="AP213" i="1"/>
  <c r="E208" i="1" l="1" a="1"/>
  <c r="E208" i="1" s="1"/>
  <c r="I209" i="1"/>
  <c r="F209" i="1" a="1"/>
  <c r="F209" i="1" s="1"/>
  <c r="AI212" i="1" s="1"/>
  <c r="H209" i="1"/>
  <c r="G209" i="1" a="1"/>
  <c r="G209" i="1" s="1"/>
  <c r="AJ212" i="1" s="1"/>
  <c r="D210" i="1"/>
  <c r="AV214" i="1"/>
  <c r="L211" i="1"/>
  <c r="K211" i="1" s="1" a="1"/>
  <c r="K211" i="1" s="1"/>
  <c r="AP214" i="1"/>
  <c r="E209" i="1" l="1" a="1"/>
  <c r="E209" i="1" s="1"/>
  <c r="I210" i="1"/>
  <c r="F210" i="1" a="1"/>
  <c r="F210" i="1" s="1"/>
  <c r="AI213" i="1" s="1"/>
  <c r="H210" i="1"/>
  <c r="G210" i="1" a="1"/>
  <c r="G210" i="1" s="1"/>
  <c r="AJ213" i="1" s="1"/>
  <c r="D211" i="1"/>
  <c r="AV215" i="1"/>
  <c r="L212" i="1"/>
  <c r="K212" i="1" s="1" a="1"/>
  <c r="K212" i="1" s="1"/>
  <c r="AP215" i="1"/>
  <c r="E210" i="1" l="1" a="1"/>
  <c r="E210" i="1" s="1"/>
  <c r="I211" i="1"/>
  <c r="F211" i="1" a="1"/>
  <c r="F211" i="1" s="1"/>
  <c r="AI214" i="1" s="1"/>
  <c r="H211" i="1"/>
  <c r="G211" i="1" a="1"/>
  <c r="G211" i="1" s="1"/>
  <c r="AJ214" i="1" s="1"/>
  <c r="D212" i="1"/>
  <c r="AV216" i="1"/>
  <c r="L213" i="1"/>
  <c r="K213" i="1" s="1" a="1"/>
  <c r="K213" i="1" s="1"/>
  <c r="AP216" i="1"/>
  <c r="E211" i="1" l="1" a="1"/>
  <c r="E211" i="1" s="1"/>
  <c r="I212" i="1"/>
  <c r="G212" i="1" a="1"/>
  <c r="G212" i="1" s="1"/>
  <c r="AJ215" i="1" s="1"/>
  <c r="H212" i="1"/>
  <c r="F212" i="1" a="1"/>
  <c r="F212" i="1" s="1"/>
  <c r="AI215" i="1" s="1"/>
  <c r="D213" i="1"/>
  <c r="AV217" i="1"/>
  <c r="L214" i="1"/>
  <c r="K214" i="1" s="1" a="1"/>
  <c r="K214" i="1" s="1"/>
  <c r="AP217" i="1"/>
  <c r="E212" i="1" l="1" a="1"/>
  <c r="E212" i="1" s="1"/>
  <c r="I213" i="1"/>
  <c r="H213" i="1"/>
  <c r="F213" i="1" a="1"/>
  <c r="F213" i="1" s="1"/>
  <c r="AI216" i="1" s="1"/>
  <c r="G213" i="1" a="1"/>
  <c r="G213" i="1" s="1"/>
  <c r="AJ216" i="1" s="1"/>
  <c r="D214" i="1"/>
  <c r="AV218" i="1"/>
  <c r="L215" i="1"/>
  <c r="K215" i="1" s="1" a="1"/>
  <c r="K215" i="1" s="1"/>
  <c r="AP218" i="1"/>
  <c r="E213" i="1" l="1" a="1"/>
  <c r="E213" i="1" s="1"/>
  <c r="I214" i="1"/>
  <c r="H214" i="1"/>
  <c r="G214" i="1" a="1"/>
  <c r="G214" i="1" s="1"/>
  <c r="AJ217" i="1" s="1"/>
  <c r="F214" i="1" a="1"/>
  <c r="F214" i="1" s="1"/>
  <c r="AI217" i="1" s="1"/>
  <c r="D215" i="1"/>
  <c r="AV219" i="1"/>
  <c r="L216" i="1"/>
  <c r="K216" i="1" s="1" a="1"/>
  <c r="K216" i="1" s="1"/>
  <c r="AP219" i="1"/>
  <c r="E214" i="1" l="1" a="1"/>
  <c r="E214" i="1" s="1"/>
  <c r="I215" i="1"/>
  <c r="F215" i="1" a="1"/>
  <c r="F215" i="1" s="1"/>
  <c r="AI218" i="1" s="1"/>
  <c r="H215" i="1"/>
  <c r="G215" i="1" a="1"/>
  <c r="G215" i="1" s="1"/>
  <c r="AJ218" i="1" s="1"/>
  <c r="D216" i="1"/>
  <c r="AV220" i="1"/>
  <c r="L217" i="1"/>
  <c r="K217" i="1" s="1" a="1"/>
  <c r="K217" i="1" s="1"/>
  <c r="AP220" i="1"/>
  <c r="E215" i="1" l="1" a="1"/>
  <c r="E215" i="1" s="1"/>
  <c r="I216" i="1"/>
  <c r="F216" i="1" a="1"/>
  <c r="F216" i="1" s="1"/>
  <c r="AI219" i="1" s="1"/>
  <c r="H216" i="1"/>
  <c r="G216" i="1" a="1"/>
  <c r="G216" i="1" s="1"/>
  <c r="AJ219" i="1" s="1"/>
  <c r="D217" i="1"/>
  <c r="AV221" i="1"/>
  <c r="L218" i="1"/>
  <c r="K218" i="1" s="1" a="1"/>
  <c r="K218" i="1" s="1"/>
  <c r="AP221" i="1"/>
  <c r="E216" i="1" l="1" a="1"/>
  <c r="E216" i="1" s="1"/>
  <c r="I217" i="1"/>
  <c r="H217" i="1"/>
  <c r="G217" i="1" a="1"/>
  <c r="G217" i="1" s="1"/>
  <c r="AJ220" i="1" s="1"/>
  <c r="F217" i="1" a="1"/>
  <c r="F217" i="1" s="1"/>
  <c r="AI220" i="1" s="1"/>
  <c r="D218" i="1"/>
  <c r="AV222" i="1"/>
  <c r="L219" i="1"/>
  <c r="K219" i="1" s="1" a="1"/>
  <c r="K219" i="1" s="1"/>
  <c r="AP222" i="1"/>
  <c r="E217" i="1" l="1" a="1"/>
  <c r="E217" i="1" s="1"/>
  <c r="I218" i="1"/>
  <c r="F218" i="1" a="1"/>
  <c r="F218" i="1" s="1"/>
  <c r="AI221" i="1" s="1"/>
  <c r="H218" i="1"/>
  <c r="G218" i="1" a="1"/>
  <c r="G218" i="1" s="1"/>
  <c r="AJ221" i="1" s="1"/>
  <c r="D219" i="1"/>
  <c r="AV223" i="1"/>
  <c r="L220" i="1"/>
  <c r="K220" i="1" s="1" a="1"/>
  <c r="K220" i="1" s="1"/>
  <c r="AP223" i="1"/>
  <c r="E218" i="1" l="1" a="1"/>
  <c r="E218" i="1" s="1"/>
  <c r="I219" i="1"/>
  <c r="F219" i="1" a="1"/>
  <c r="F219" i="1" s="1"/>
  <c r="AI222" i="1" s="1"/>
  <c r="H219" i="1"/>
  <c r="G219" i="1" a="1"/>
  <c r="G219" i="1" s="1"/>
  <c r="AJ222" i="1" s="1"/>
  <c r="D220" i="1"/>
  <c r="AV224" i="1"/>
  <c r="L221" i="1"/>
  <c r="K221" i="1" s="1" a="1"/>
  <c r="K221" i="1" s="1"/>
  <c r="AP224" i="1"/>
  <c r="E219" i="1" l="1" a="1"/>
  <c r="E219" i="1" s="1"/>
  <c r="I220" i="1"/>
  <c r="F220" i="1" a="1"/>
  <c r="F220" i="1" s="1"/>
  <c r="AI223" i="1" s="1"/>
  <c r="H220" i="1"/>
  <c r="G220" i="1" a="1"/>
  <c r="G220" i="1" s="1"/>
  <c r="AJ223" i="1" s="1"/>
  <c r="D221" i="1"/>
  <c r="AV225" i="1"/>
  <c r="L222" i="1"/>
  <c r="K222" i="1" s="1" a="1"/>
  <c r="K222" i="1" s="1"/>
  <c r="AP225" i="1"/>
  <c r="E220" i="1" l="1" a="1"/>
  <c r="E220" i="1" s="1"/>
  <c r="I221" i="1"/>
  <c r="F221" i="1" a="1"/>
  <c r="F221" i="1" s="1"/>
  <c r="AI224" i="1" s="1"/>
  <c r="H221" i="1"/>
  <c r="G221" i="1" a="1"/>
  <c r="G221" i="1" s="1"/>
  <c r="AJ224" i="1" s="1"/>
  <c r="D222" i="1"/>
  <c r="AV226" i="1"/>
  <c r="L223" i="1"/>
  <c r="K223" i="1" s="1" a="1"/>
  <c r="K223" i="1" s="1"/>
  <c r="AP226" i="1"/>
  <c r="E221" i="1" l="1" a="1"/>
  <c r="E221" i="1" s="1"/>
  <c r="I222" i="1"/>
  <c r="H222" i="1"/>
  <c r="G222" i="1" a="1"/>
  <c r="G222" i="1" s="1"/>
  <c r="AJ225" i="1" s="1"/>
  <c r="F222" i="1" a="1"/>
  <c r="F222" i="1" s="1"/>
  <c r="AI225" i="1" s="1"/>
  <c r="D223" i="1"/>
  <c r="AV227" i="1"/>
  <c r="L224" i="1"/>
  <c r="K224" i="1" s="1" a="1"/>
  <c r="K224" i="1" s="1"/>
  <c r="AP227" i="1"/>
  <c r="E222" i="1" l="1" a="1"/>
  <c r="E222" i="1" s="1"/>
  <c r="I223" i="1"/>
  <c r="H223" i="1"/>
  <c r="G223" i="1" a="1"/>
  <c r="G223" i="1" s="1"/>
  <c r="AJ226" i="1" s="1"/>
  <c r="F223" i="1" a="1"/>
  <c r="F223" i="1" s="1"/>
  <c r="AI226" i="1" s="1"/>
  <c r="D224" i="1"/>
  <c r="AV228" i="1"/>
  <c r="L225" i="1"/>
  <c r="K225" i="1" s="1" a="1"/>
  <c r="K225" i="1" s="1"/>
  <c r="AP228" i="1"/>
  <c r="E223" i="1" l="1" a="1"/>
  <c r="E223" i="1" s="1"/>
  <c r="I224" i="1"/>
  <c r="F224" i="1" a="1"/>
  <c r="F224" i="1" s="1"/>
  <c r="AI227" i="1" s="1"/>
  <c r="H224" i="1"/>
  <c r="G224" i="1" a="1"/>
  <c r="G224" i="1" s="1"/>
  <c r="AJ227" i="1" s="1"/>
  <c r="D225" i="1"/>
  <c r="AV229" i="1"/>
  <c r="L226" i="1"/>
  <c r="K226" i="1" s="1" a="1"/>
  <c r="K226" i="1" s="1"/>
  <c r="AP229" i="1"/>
  <c r="E224" i="1" l="1" a="1"/>
  <c r="E224" i="1" s="1"/>
  <c r="I225" i="1"/>
  <c r="H225" i="1"/>
  <c r="G225" i="1" a="1"/>
  <c r="G225" i="1" s="1"/>
  <c r="AJ228" i="1" s="1"/>
  <c r="F225" i="1" a="1"/>
  <c r="F225" i="1" s="1"/>
  <c r="AI228" i="1" s="1"/>
  <c r="D226" i="1"/>
  <c r="AV230" i="1"/>
  <c r="L227" i="1"/>
  <c r="K227" i="1" s="1" a="1"/>
  <c r="K227" i="1" s="1"/>
  <c r="AP230" i="1"/>
  <c r="E225" i="1" l="1" a="1"/>
  <c r="E225" i="1" s="1"/>
  <c r="I226" i="1"/>
  <c r="F226" i="1" a="1"/>
  <c r="F226" i="1" s="1"/>
  <c r="AI229" i="1" s="1"/>
  <c r="H226" i="1"/>
  <c r="G226" i="1" a="1"/>
  <c r="G226" i="1" s="1"/>
  <c r="AJ229" i="1" s="1"/>
  <c r="D227" i="1"/>
  <c r="AV231" i="1"/>
  <c r="L228" i="1"/>
  <c r="K228" i="1" s="1" a="1"/>
  <c r="K228" i="1" s="1"/>
  <c r="AP231" i="1"/>
  <c r="E226" i="1" l="1" a="1"/>
  <c r="E226" i="1" s="1"/>
  <c r="I227" i="1"/>
  <c r="H227" i="1"/>
  <c r="G227" i="1" a="1"/>
  <c r="G227" i="1" s="1"/>
  <c r="AJ230" i="1" s="1"/>
  <c r="F227" i="1" a="1"/>
  <c r="F227" i="1" s="1"/>
  <c r="AI230" i="1" s="1"/>
  <c r="D228" i="1"/>
  <c r="AV232" i="1"/>
  <c r="L229" i="1"/>
  <c r="K229" i="1" s="1" a="1"/>
  <c r="K229" i="1" s="1"/>
  <c r="AP232" i="1"/>
  <c r="E227" i="1" l="1" a="1"/>
  <c r="E227" i="1" s="1"/>
  <c r="I228" i="1"/>
  <c r="G228" i="1" a="1"/>
  <c r="G228" i="1" s="1"/>
  <c r="AJ231" i="1" s="1"/>
  <c r="H228" i="1"/>
  <c r="F228" i="1" a="1"/>
  <c r="F228" i="1" s="1"/>
  <c r="AI231" i="1" s="1"/>
  <c r="D229" i="1"/>
  <c r="AV233" i="1"/>
  <c r="L230" i="1"/>
  <c r="K230" i="1" s="1" a="1"/>
  <c r="K230" i="1" s="1"/>
  <c r="AP233" i="1"/>
  <c r="E228" i="1" l="1" a="1"/>
  <c r="E228" i="1" s="1"/>
  <c r="I229" i="1"/>
  <c r="F229" i="1" a="1"/>
  <c r="F229" i="1" s="1"/>
  <c r="AI232" i="1" s="1"/>
  <c r="H229" i="1"/>
  <c r="G229" i="1" a="1"/>
  <c r="G229" i="1" s="1"/>
  <c r="AJ232" i="1" s="1"/>
  <c r="D230" i="1"/>
  <c r="AV234" i="1"/>
  <c r="L231" i="1"/>
  <c r="K231" i="1" s="1" a="1"/>
  <c r="K231" i="1" s="1"/>
  <c r="AP234" i="1"/>
  <c r="E229" i="1" l="1" a="1"/>
  <c r="E229" i="1" s="1"/>
  <c r="I230" i="1"/>
  <c r="H230" i="1"/>
  <c r="G230" i="1" a="1"/>
  <c r="G230" i="1" s="1"/>
  <c r="AJ233" i="1" s="1"/>
  <c r="F230" i="1" a="1"/>
  <c r="F230" i="1" s="1"/>
  <c r="AI233" i="1" s="1"/>
  <c r="D231" i="1"/>
  <c r="AV235" i="1"/>
  <c r="L232" i="1"/>
  <c r="K232" i="1" s="1" a="1"/>
  <c r="K232" i="1" s="1"/>
  <c r="AP235" i="1"/>
  <c r="E230" i="1" l="1" a="1"/>
  <c r="E230" i="1" s="1"/>
  <c r="I231" i="1"/>
  <c r="F231" i="1" a="1"/>
  <c r="F231" i="1" s="1"/>
  <c r="AI234" i="1" s="1"/>
  <c r="G231" i="1" a="1"/>
  <c r="G231" i="1" s="1"/>
  <c r="AJ234" i="1" s="1"/>
  <c r="H231" i="1"/>
  <c r="D232" i="1"/>
  <c r="AV236" i="1"/>
  <c r="L233" i="1"/>
  <c r="K233" i="1" s="1" a="1"/>
  <c r="K233" i="1" s="1"/>
  <c r="AP236" i="1"/>
  <c r="E231" i="1" l="1" a="1"/>
  <c r="E231" i="1" s="1"/>
  <c r="I232" i="1"/>
  <c r="F232" i="1" a="1"/>
  <c r="F232" i="1" s="1"/>
  <c r="AI235" i="1" s="1"/>
  <c r="H232" i="1"/>
  <c r="G232" i="1" a="1"/>
  <c r="G232" i="1" s="1"/>
  <c r="AJ235" i="1" s="1"/>
  <c r="D233" i="1"/>
  <c r="AV237" i="1"/>
  <c r="L234" i="1"/>
  <c r="K234" i="1" s="1" a="1"/>
  <c r="K234" i="1" s="1"/>
  <c r="AP237" i="1"/>
  <c r="E232" i="1" l="1" a="1"/>
  <c r="E232" i="1" s="1"/>
  <c r="I233" i="1"/>
  <c r="H233" i="1"/>
  <c r="G233" i="1" a="1"/>
  <c r="G233" i="1" s="1"/>
  <c r="AJ236" i="1" s="1"/>
  <c r="F233" i="1" a="1"/>
  <c r="F233" i="1" s="1"/>
  <c r="AI236" i="1" s="1"/>
  <c r="D234" i="1"/>
  <c r="AV238" i="1"/>
  <c r="L235" i="1"/>
  <c r="K235" i="1" s="1" a="1"/>
  <c r="K235" i="1" s="1"/>
  <c r="AP238" i="1"/>
  <c r="E233" i="1" l="1" a="1"/>
  <c r="E233" i="1" s="1"/>
  <c r="I234" i="1"/>
  <c r="H234" i="1"/>
  <c r="F234" i="1" a="1"/>
  <c r="F234" i="1" s="1"/>
  <c r="AI237" i="1" s="1"/>
  <c r="G234" i="1" a="1"/>
  <c r="G234" i="1" s="1"/>
  <c r="AJ237" i="1" s="1"/>
  <c r="D235" i="1"/>
  <c r="AV239" i="1"/>
  <c r="L236" i="1"/>
  <c r="K236" i="1" s="1" a="1"/>
  <c r="K236" i="1" s="1"/>
  <c r="AP239" i="1"/>
  <c r="E234" i="1" l="1" a="1"/>
  <c r="E234" i="1" s="1"/>
  <c r="I235" i="1"/>
  <c r="H235" i="1"/>
  <c r="G235" i="1" a="1"/>
  <c r="G235" i="1" s="1"/>
  <c r="AJ238" i="1" s="1"/>
  <c r="F235" i="1" a="1"/>
  <c r="F235" i="1" s="1"/>
  <c r="AI238" i="1" s="1"/>
  <c r="D236" i="1"/>
  <c r="AV240" i="1"/>
  <c r="L237" i="1"/>
  <c r="K237" i="1" s="1" a="1"/>
  <c r="K237" i="1" s="1"/>
  <c r="AP240" i="1"/>
  <c r="E235" i="1" l="1" a="1"/>
  <c r="E235" i="1" s="1"/>
  <c r="I236" i="1"/>
  <c r="F236" i="1" a="1"/>
  <c r="F236" i="1" s="1"/>
  <c r="AI239" i="1" s="1"/>
  <c r="H236" i="1"/>
  <c r="G236" i="1" a="1"/>
  <c r="G236" i="1" s="1"/>
  <c r="AJ239" i="1" s="1"/>
  <c r="D237" i="1"/>
  <c r="AV241" i="1"/>
  <c r="L238" i="1"/>
  <c r="K238" i="1" s="1" a="1"/>
  <c r="K238" i="1" s="1"/>
  <c r="AP241" i="1"/>
  <c r="E236" i="1" l="1" a="1"/>
  <c r="E236" i="1" s="1"/>
  <c r="I237" i="1"/>
  <c r="F237" i="1" a="1"/>
  <c r="F237" i="1" s="1"/>
  <c r="AI240" i="1" s="1"/>
  <c r="H237" i="1"/>
  <c r="G237" i="1" a="1"/>
  <c r="G237" i="1" s="1"/>
  <c r="AJ240" i="1" s="1"/>
  <c r="D238" i="1"/>
  <c r="AV242" i="1"/>
  <c r="L239" i="1"/>
  <c r="K239" i="1" s="1" a="1"/>
  <c r="K239" i="1" s="1"/>
  <c r="AP242" i="1"/>
  <c r="E237" i="1" l="1" a="1"/>
  <c r="E237" i="1" s="1"/>
  <c r="I238" i="1"/>
  <c r="G238" i="1" a="1"/>
  <c r="G238" i="1" s="1"/>
  <c r="AJ241" i="1" s="1"/>
  <c r="H238" i="1"/>
  <c r="F238" i="1" a="1"/>
  <c r="F238" i="1" s="1"/>
  <c r="AI241" i="1" s="1"/>
  <c r="D239" i="1"/>
  <c r="AV243" i="1"/>
  <c r="L240" i="1"/>
  <c r="K240" i="1" s="1" a="1"/>
  <c r="K240" i="1" s="1"/>
  <c r="AP243" i="1"/>
  <c r="E238" i="1" l="1" a="1"/>
  <c r="E238" i="1" s="1"/>
  <c r="I239" i="1"/>
  <c r="F239" i="1" a="1"/>
  <c r="F239" i="1" s="1"/>
  <c r="AI242" i="1" s="1"/>
  <c r="H239" i="1"/>
  <c r="D240" i="1"/>
  <c r="G239" i="1" a="1"/>
  <c r="G239" i="1" s="1"/>
  <c r="AJ242" i="1" s="1"/>
  <c r="AV244" i="1"/>
  <c r="L241" i="1"/>
  <c r="K241" i="1" s="1" a="1"/>
  <c r="K241" i="1" s="1"/>
  <c r="AP244" i="1"/>
  <c r="E239" i="1" l="1" a="1"/>
  <c r="E239" i="1" s="1"/>
  <c r="I240" i="1"/>
  <c r="F240" i="1" a="1"/>
  <c r="F240" i="1" s="1"/>
  <c r="AI243" i="1" s="1"/>
  <c r="H240" i="1"/>
  <c r="G240" i="1" a="1"/>
  <c r="G240" i="1" s="1"/>
  <c r="AJ243" i="1" s="1"/>
  <c r="D241" i="1"/>
  <c r="AV245" i="1"/>
  <c r="L242" i="1"/>
  <c r="K242" i="1" s="1" a="1"/>
  <c r="K242" i="1" s="1"/>
  <c r="AP245" i="1"/>
  <c r="E240" i="1" l="1" a="1"/>
  <c r="E240" i="1" s="1"/>
  <c r="I241" i="1"/>
  <c r="F241" i="1" a="1"/>
  <c r="F241" i="1" s="1"/>
  <c r="AI244" i="1" s="1"/>
  <c r="H241" i="1"/>
  <c r="D242" i="1"/>
  <c r="G241" i="1" a="1"/>
  <c r="G241" i="1" s="1"/>
  <c r="AJ244" i="1" s="1"/>
  <c r="AV246" i="1"/>
  <c r="L243" i="1"/>
  <c r="K243" i="1" s="1" a="1"/>
  <c r="K243" i="1" s="1"/>
  <c r="AP246" i="1"/>
  <c r="E241" i="1" l="1" a="1"/>
  <c r="E241" i="1" s="1"/>
  <c r="I242" i="1"/>
  <c r="F242" i="1" a="1"/>
  <c r="F242" i="1" s="1"/>
  <c r="AI245" i="1" s="1"/>
  <c r="H242" i="1"/>
  <c r="G242" i="1" a="1"/>
  <c r="G242" i="1" s="1"/>
  <c r="AJ245" i="1" s="1"/>
  <c r="D243" i="1"/>
  <c r="AV247" i="1"/>
  <c r="L244" i="1"/>
  <c r="K244" i="1" s="1" a="1"/>
  <c r="K244" i="1" s="1"/>
  <c r="AP247" i="1"/>
  <c r="E242" i="1" l="1" a="1"/>
  <c r="E242" i="1" s="1"/>
  <c r="I243" i="1"/>
  <c r="F243" i="1" a="1"/>
  <c r="F243" i="1" s="1"/>
  <c r="AI246" i="1" s="1"/>
  <c r="H243" i="1"/>
  <c r="G243" i="1" a="1"/>
  <c r="G243" i="1" s="1"/>
  <c r="AJ246" i="1" s="1"/>
  <c r="D244" i="1"/>
  <c r="AV248" i="1"/>
  <c r="L245" i="1"/>
  <c r="K245" i="1" s="1" a="1"/>
  <c r="K245" i="1" s="1"/>
  <c r="AP248" i="1"/>
  <c r="E243" i="1" l="1" a="1"/>
  <c r="E243" i="1" s="1"/>
  <c r="I244" i="1"/>
  <c r="H244" i="1"/>
  <c r="G244" i="1" a="1"/>
  <c r="G244" i="1" s="1"/>
  <c r="AJ247" i="1" s="1"/>
  <c r="F244" i="1" a="1"/>
  <c r="F244" i="1" s="1"/>
  <c r="AI247" i="1" s="1"/>
  <c r="D245" i="1"/>
  <c r="AV249" i="1"/>
  <c r="L246" i="1"/>
  <c r="K246" i="1" s="1" a="1"/>
  <c r="K246" i="1" s="1"/>
  <c r="AP249" i="1"/>
  <c r="E244" i="1" l="1" a="1"/>
  <c r="E244" i="1" s="1"/>
  <c r="I245" i="1"/>
  <c r="F245" i="1" a="1"/>
  <c r="F245" i="1" s="1"/>
  <c r="AI248" i="1" s="1"/>
  <c r="H245" i="1"/>
  <c r="G245" i="1" a="1"/>
  <c r="G245" i="1" s="1"/>
  <c r="AJ248" i="1" s="1"/>
  <c r="D246" i="1"/>
  <c r="AV250" i="1"/>
  <c r="L247" i="1"/>
  <c r="K247" i="1" s="1" a="1"/>
  <c r="K247" i="1" s="1"/>
  <c r="AP250" i="1"/>
  <c r="E245" i="1" l="1" a="1"/>
  <c r="E245" i="1" s="1"/>
  <c r="I246" i="1"/>
  <c r="F246" i="1" a="1"/>
  <c r="F246" i="1" s="1"/>
  <c r="AI249" i="1" s="1"/>
  <c r="H246" i="1"/>
  <c r="G246" i="1" a="1"/>
  <c r="G246" i="1" s="1"/>
  <c r="AJ249" i="1" s="1"/>
  <c r="D247" i="1"/>
  <c r="AV251" i="1"/>
  <c r="L248" i="1"/>
  <c r="K248" i="1" s="1" a="1"/>
  <c r="K248" i="1" s="1"/>
  <c r="AP251" i="1"/>
  <c r="E246" i="1" l="1" a="1"/>
  <c r="E246" i="1" s="1"/>
  <c r="I247" i="1"/>
  <c r="F247" i="1" a="1"/>
  <c r="F247" i="1" s="1"/>
  <c r="AI250" i="1" s="1"/>
  <c r="H247" i="1"/>
  <c r="G247" i="1" a="1"/>
  <c r="G247" i="1" s="1"/>
  <c r="AJ250" i="1" s="1"/>
  <c r="D248" i="1"/>
  <c r="AV252" i="1"/>
  <c r="L249" i="1"/>
  <c r="K249" i="1" s="1" a="1"/>
  <c r="K249" i="1" s="1"/>
  <c r="AP252" i="1"/>
  <c r="E247" i="1" l="1" a="1"/>
  <c r="E247" i="1" s="1"/>
  <c r="I248" i="1"/>
  <c r="F248" i="1" a="1"/>
  <c r="F248" i="1" s="1"/>
  <c r="AI251" i="1" s="1"/>
  <c r="H248" i="1"/>
  <c r="G248" i="1" a="1"/>
  <c r="G248" i="1" s="1"/>
  <c r="AJ251" i="1" s="1"/>
  <c r="D249" i="1"/>
  <c r="AV253" i="1"/>
  <c r="L250" i="1"/>
  <c r="K250" i="1" s="1" a="1"/>
  <c r="K250" i="1" s="1"/>
  <c r="AP253" i="1"/>
  <c r="E248" i="1" l="1" a="1"/>
  <c r="E248" i="1" s="1"/>
  <c r="I249" i="1"/>
  <c r="F249" i="1" a="1"/>
  <c r="F249" i="1" s="1"/>
  <c r="AI252" i="1" s="1"/>
  <c r="H249" i="1"/>
  <c r="G249" i="1" a="1"/>
  <c r="G249" i="1" s="1"/>
  <c r="AJ252" i="1" s="1"/>
  <c r="D250" i="1"/>
  <c r="AV254" i="1"/>
  <c r="L251" i="1"/>
  <c r="K251" i="1" s="1" a="1"/>
  <c r="K251" i="1" s="1"/>
  <c r="AP254" i="1"/>
  <c r="E249" i="1" l="1" a="1"/>
  <c r="E249" i="1" s="1"/>
  <c r="I250" i="1"/>
  <c r="H250" i="1"/>
  <c r="G250" i="1" a="1"/>
  <c r="G250" i="1" s="1"/>
  <c r="AJ253" i="1" s="1"/>
  <c r="F250" i="1" a="1"/>
  <c r="F250" i="1" s="1"/>
  <c r="AI253" i="1" s="1"/>
  <c r="D251" i="1"/>
  <c r="AV255" i="1"/>
  <c r="L252" i="1"/>
  <c r="K252" i="1" s="1" a="1"/>
  <c r="K252" i="1" s="1"/>
  <c r="AP255" i="1"/>
  <c r="E250" i="1" l="1" a="1"/>
  <c r="E250" i="1" s="1"/>
  <c r="I251" i="1"/>
  <c r="H251" i="1"/>
  <c r="F251" i="1" a="1"/>
  <c r="F251" i="1" s="1"/>
  <c r="AI254" i="1" s="1"/>
  <c r="G251" i="1" a="1"/>
  <c r="G251" i="1" s="1"/>
  <c r="AJ254" i="1" s="1"/>
  <c r="D252" i="1"/>
  <c r="AV256" i="1"/>
  <c r="L253" i="1"/>
  <c r="K253" i="1" s="1" a="1"/>
  <c r="K253" i="1" s="1"/>
  <c r="AP256" i="1"/>
  <c r="E251" i="1" l="1" a="1"/>
  <c r="E251" i="1" s="1"/>
  <c r="I252" i="1"/>
  <c r="F252" i="1" a="1"/>
  <c r="F252" i="1" s="1"/>
  <c r="AI255" i="1" s="1"/>
  <c r="H252" i="1"/>
  <c r="G252" i="1" a="1"/>
  <c r="G252" i="1" s="1"/>
  <c r="AJ255" i="1" s="1"/>
  <c r="D253" i="1"/>
  <c r="AV257" i="1"/>
  <c r="L254" i="1"/>
  <c r="K254" i="1" s="1" a="1"/>
  <c r="K254" i="1" s="1"/>
  <c r="AP257" i="1"/>
  <c r="E252" i="1" l="1" a="1"/>
  <c r="E252" i="1" s="1"/>
  <c r="I253" i="1"/>
  <c r="H253" i="1"/>
  <c r="G253" i="1" a="1"/>
  <c r="G253" i="1" s="1"/>
  <c r="AJ256" i="1" s="1"/>
  <c r="F253" i="1" a="1"/>
  <c r="F253" i="1" s="1"/>
  <c r="AI256" i="1" s="1"/>
  <c r="D254" i="1"/>
  <c r="AV258" i="1"/>
  <c r="L255" i="1"/>
  <c r="K255" i="1" s="1" a="1"/>
  <c r="K255" i="1" s="1"/>
  <c r="AP258" i="1"/>
  <c r="E253" i="1" l="1" a="1"/>
  <c r="E253" i="1" s="1"/>
  <c r="I254" i="1"/>
  <c r="F254" i="1" a="1"/>
  <c r="F254" i="1" s="1"/>
  <c r="AI257" i="1" s="1"/>
  <c r="H254" i="1"/>
  <c r="G254" i="1" a="1"/>
  <c r="G254" i="1" s="1"/>
  <c r="AJ257" i="1" s="1"/>
  <c r="D255" i="1"/>
  <c r="AV259" i="1"/>
  <c r="L256" i="1"/>
  <c r="K256" i="1" s="1" a="1"/>
  <c r="K256" i="1" s="1"/>
  <c r="AP259" i="1"/>
  <c r="E254" i="1" l="1" a="1"/>
  <c r="E254" i="1" s="1"/>
  <c r="I255" i="1"/>
  <c r="F255" i="1" a="1"/>
  <c r="F255" i="1" s="1"/>
  <c r="AI258" i="1" s="1"/>
  <c r="H255" i="1"/>
  <c r="G255" i="1" a="1"/>
  <c r="G255" i="1" s="1"/>
  <c r="AJ258" i="1" s="1"/>
  <c r="D256" i="1"/>
  <c r="AV260" i="1"/>
  <c r="L257" i="1"/>
  <c r="K257" i="1" s="1" a="1"/>
  <c r="K257" i="1" s="1"/>
  <c r="AP260" i="1"/>
  <c r="E255" i="1" l="1" a="1"/>
  <c r="E255" i="1" s="1"/>
  <c r="I256" i="1"/>
  <c r="F256" i="1" a="1"/>
  <c r="F256" i="1" s="1"/>
  <c r="AI259" i="1" s="1"/>
  <c r="H256" i="1"/>
  <c r="G256" i="1" a="1"/>
  <c r="G256" i="1" s="1"/>
  <c r="AJ259" i="1" s="1"/>
  <c r="D257" i="1"/>
  <c r="AV261" i="1"/>
  <c r="L258" i="1"/>
  <c r="K258" i="1" s="1" a="1"/>
  <c r="K258" i="1" s="1"/>
  <c r="AP261" i="1"/>
  <c r="E256" i="1" l="1" a="1"/>
  <c r="E256" i="1" s="1"/>
  <c r="I257" i="1"/>
  <c r="F257" i="1" a="1"/>
  <c r="F257" i="1" s="1"/>
  <c r="AI260" i="1" s="1"/>
  <c r="H257" i="1"/>
  <c r="G257" i="1" a="1"/>
  <c r="G257" i="1" s="1"/>
  <c r="AJ260" i="1" s="1"/>
  <c r="D258" i="1"/>
  <c r="AV262" i="1"/>
  <c r="L259" i="1"/>
  <c r="K259" i="1" s="1" a="1"/>
  <c r="K259" i="1" s="1"/>
  <c r="AP262" i="1"/>
  <c r="E257" i="1" l="1" a="1"/>
  <c r="E257" i="1" s="1"/>
  <c r="I258" i="1"/>
  <c r="F258" i="1" a="1"/>
  <c r="F258" i="1" s="1"/>
  <c r="AI261" i="1" s="1"/>
  <c r="H258" i="1"/>
  <c r="G258" i="1" a="1"/>
  <c r="G258" i="1" s="1"/>
  <c r="AJ261" i="1" s="1"/>
  <c r="D259" i="1"/>
  <c r="AV263" i="1"/>
  <c r="L260" i="1"/>
  <c r="K260" i="1" s="1" a="1"/>
  <c r="K260" i="1" s="1"/>
  <c r="AP263" i="1"/>
  <c r="E258" i="1" l="1" a="1"/>
  <c r="E258" i="1" s="1"/>
  <c r="I259" i="1"/>
  <c r="F259" i="1" a="1"/>
  <c r="F259" i="1" s="1"/>
  <c r="AI262" i="1" s="1"/>
  <c r="H259" i="1"/>
  <c r="G259" i="1" a="1"/>
  <c r="G259" i="1" s="1"/>
  <c r="AJ262" i="1" s="1"/>
  <c r="D260" i="1"/>
  <c r="AV264" i="1"/>
  <c r="L261" i="1"/>
  <c r="K261" i="1" s="1" a="1"/>
  <c r="K261" i="1" s="1"/>
  <c r="AP264" i="1"/>
  <c r="E259" i="1" l="1" a="1"/>
  <c r="E259" i="1" s="1"/>
  <c r="I260" i="1"/>
  <c r="H260" i="1"/>
  <c r="G260" i="1" a="1"/>
  <c r="G260" i="1" s="1"/>
  <c r="AJ263" i="1" s="1"/>
  <c r="F260" i="1" a="1"/>
  <c r="F260" i="1" s="1"/>
  <c r="AI263" i="1" s="1"/>
  <c r="D261" i="1"/>
  <c r="AV265" i="1"/>
  <c r="L262" i="1"/>
  <c r="K262" i="1" s="1" a="1"/>
  <c r="K262" i="1" s="1"/>
  <c r="AP265" i="1"/>
  <c r="E260" i="1" l="1" a="1"/>
  <c r="E260" i="1" s="1"/>
  <c r="I261" i="1"/>
  <c r="F261" i="1" a="1"/>
  <c r="F261" i="1" s="1"/>
  <c r="AI264" i="1" s="1"/>
  <c r="H261" i="1"/>
  <c r="G261" i="1" a="1"/>
  <c r="G261" i="1" s="1"/>
  <c r="AJ264" i="1" s="1"/>
  <c r="D262" i="1"/>
  <c r="AV266" i="1"/>
  <c r="L263" i="1"/>
  <c r="K263" i="1" s="1" a="1"/>
  <c r="K263" i="1" s="1"/>
  <c r="AP266" i="1"/>
  <c r="E261" i="1" l="1" a="1"/>
  <c r="E261" i="1" s="1"/>
  <c r="I262" i="1"/>
  <c r="H262" i="1"/>
  <c r="G262" i="1" a="1"/>
  <c r="G262" i="1" s="1"/>
  <c r="AJ265" i="1" s="1"/>
  <c r="F262" i="1" a="1"/>
  <c r="F262" i="1" s="1"/>
  <c r="AI265" i="1" s="1"/>
  <c r="D263" i="1"/>
  <c r="AV267" i="1"/>
  <c r="L264" i="1"/>
  <c r="K264" i="1" s="1" a="1"/>
  <c r="K264" i="1" s="1"/>
  <c r="AP267" i="1"/>
  <c r="E262" i="1" l="1" a="1"/>
  <c r="E262" i="1" s="1"/>
  <c r="I263" i="1"/>
  <c r="F263" i="1" a="1"/>
  <c r="F263" i="1" s="1"/>
  <c r="AI266" i="1" s="1"/>
  <c r="H263" i="1"/>
  <c r="G263" i="1" a="1"/>
  <c r="G263" i="1" s="1"/>
  <c r="AJ266" i="1" s="1"/>
  <c r="D264" i="1"/>
  <c r="AV268" i="1"/>
  <c r="L265" i="1"/>
  <c r="K265" i="1" s="1" a="1"/>
  <c r="K265" i="1" s="1"/>
  <c r="AP268" i="1"/>
  <c r="E263" i="1" l="1" a="1"/>
  <c r="E263" i="1" s="1"/>
  <c r="I264" i="1"/>
  <c r="H264" i="1"/>
  <c r="G264" i="1" a="1"/>
  <c r="G264" i="1" s="1"/>
  <c r="AJ267" i="1" s="1"/>
  <c r="F264" i="1" a="1"/>
  <c r="F264" i="1" s="1"/>
  <c r="AI267" i="1" s="1"/>
  <c r="D265" i="1"/>
  <c r="AV269" i="1"/>
  <c r="L266" i="1"/>
  <c r="K266" i="1" s="1" a="1"/>
  <c r="K266" i="1" s="1"/>
  <c r="AP269" i="1"/>
  <c r="E264" i="1" l="1" a="1"/>
  <c r="E264" i="1" s="1"/>
  <c r="I265" i="1"/>
  <c r="F265" i="1" a="1"/>
  <c r="F265" i="1" s="1"/>
  <c r="AI268" i="1" s="1"/>
  <c r="G265" i="1" a="1"/>
  <c r="G265" i="1" s="1"/>
  <c r="AJ268" i="1" s="1"/>
  <c r="H265" i="1"/>
  <c r="D266" i="1"/>
  <c r="AV270" i="1"/>
  <c r="L267" i="1"/>
  <c r="K267" i="1" s="1" a="1"/>
  <c r="K267" i="1" s="1"/>
  <c r="AP270" i="1"/>
  <c r="E265" i="1" l="1" a="1"/>
  <c r="E265" i="1" s="1"/>
  <c r="I266" i="1"/>
  <c r="F266" i="1" a="1"/>
  <c r="F266" i="1" s="1"/>
  <c r="AI269" i="1" s="1"/>
  <c r="H266" i="1"/>
  <c r="G266" i="1" a="1"/>
  <c r="G266" i="1" s="1"/>
  <c r="AJ269" i="1" s="1"/>
  <c r="D267" i="1"/>
  <c r="AV271" i="1"/>
  <c r="L268" i="1"/>
  <c r="K268" i="1" s="1" a="1"/>
  <c r="K268" i="1" s="1"/>
  <c r="AP271" i="1"/>
  <c r="E266" i="1" l="1" a="1"/>
  <c r="E266" i="1" s="1"/>
  <c r="I267" i="1"/>
  <c r="F267" i="1" a="1"/>
  <c r="F267" i="1" s="1"/>
  <c r="AI270" i="1" s="1"/>
  <c r="H267" i="1"/>
  <c r="G267" i="1" a="1"/>
  <c r="G267" i="1" s="1"/>
  <c r="AJ270" i="1" s="1"/>
  <c r="D268" i="1"/>
  <c r="AV272" i="1"/>
  <c r="L269" i="1"/>
  <c r="K269" i="1" s="1" a="1"/>
  <c r="K269" i="1" s="1"/>
  <c r="AP272" i="1"/>
  <c r="E267" i="1" l="1" a="1"/>
  <c r="E267" i="1" s="1"/>
  <c r="I268" i="1"/>
  <c r="F268" i="1" a="1"/>
  <c r="F268" i="1" s="1"/>
  <c r="AI271" i="1" s="1"/>
  <c r="H268" i="1"/>
  <c r="G268" i="1" a="1"/>
  <c r="G268" i="1" s="1"/>
  <c r="AJ271" i="1" s="1"/>
  <c r="D269" i="1"/>
  <c r="AV273" i="1"/>
  <c r="L270" i="1"/>
  <c r="K270" i="1" s="1" a="1"/>
  <c r="K270" i="1" s="1"/>
  <c r="AP273" i="1"/>
  <c r="E268" i="1" l="1" a="1"/>
  <c r="E268" i="1" s="1"/>
  <c r="I269" i="1"/>
  <c r="H269" i="1"/>
  <c r="G269" i="1" a="1"/>
  <c r="G269" i="1" s="1"/>
  <c r="AJ272" i="1" s="1"/>
  <c r="F269" i="1" a="1"/>
  <c r="F269" i="1" s="1"/>
  <c r="AI272" i="1" s="1"/>
  <c r="D270" i="1"/>
  <c r="AV274" i="1"/>
  <c r="L271" i="1"/>
  <c r="K271" i="1" s="1" a="1"/>
  <c r="K271" i="1" s="1"/>
  <c r="AP274" i="1"/>
  <c r="E269" i="1" l="1" a="1"/>
  <c r="E269" i="1" s="1"/>
  <c r="I270" i="1"/>
  <c r="F270" i="1" a="1"/>
  <c r="F270" i="1" s="1"/>
  <c r="AI273" i="1" s="1"/>
  <c r="G270" i="1" a="1"/>
  <c r="G270" i="1" s="1"/>
  <c r="AJ273" i="1" s="1"/>
  <c r="H270" i="1"/>
  <c r="D271" i="1"/>
  <c r="AV275" i="1"/>
  <c r="L272" i="1"/>
  <c r="K272" i="1" s="1" a="1"/>
  <c r="K272" i="1" s="1"/>
  <c r="AP275" i="1"/>
  <c r="E270" i="1" l="1" a="1"/>
  <c r="E270" i="1" s="1"/>
  <c r="I271" i="1"/>
  <c r="H271" i="1"/>
  <c r="G271" i="1" a="1"/>
  <c r="G271" i="1" s="1"/>
  <c r="AJ274" i="1" s="1"/>
  <c r="F271" i="1" a="1"/>
  <c r="F271" i="1" s="1"/>
  <c r="AI274" i="1" s="1"/>
  <c r="D272" i="1"/>
  <c r="AV276" i="1"/>
  <c r="L273" i="1"/>
  <c r="K273" i="1" s="1" a="1"/>
  <c r="K273" i="1" s="1"/>
  <c r="AP276" i="1"/>
  <c r="E271" i="1" l="1" a="1"/>
  <c r="E271" i="1" s="1"/>
  <c r="I272" i="1"/>
  <c r="F272" i="1" a="1"/>
  <c r="F272" i="1" s="1"/>
  <c r="AI275" i="1" s="1"/>
  <c r="H272" i="1"/>
  <c r="G272" i="1" a="1"/>
  <c r="G272" i="1" s="1"/>
  <c r="AJ275" i="1" s="1"/>
  <c r="D273" i="1"/>
  <c r="AV277" i="1"/>
  <c r="L274" i="1"/>
  <c r="K274" i="1" s="1" a="1"/>
  <c r="K274" i="1" s="1"/>
  <c r="AP277" i="1"/>
  <c r="E272" i="1" l="1" a="1"/>
  <c r="E272" i="1" s="1"/>
  <c r="I273" i="1"/>
  <c r="F273" i="1" a="1"/>
  <c r="F273" i="1" s="1"/>
  <c r="AI276" i="1" s="1"/>
  <c r="H273" i="1"/>
  <c r="G273" i="1" a="1"/>
  <c r="G273" i="1" s="1"/>
  <c r="AJ276" i="1" s="1"/>
  <c r="D274" i="1"/>
  <c r="AV278" i="1"/>
  <c r="L275" i="1"/>
  <c r="K275" i="1" s="1" a="1"/>
  <c r="K275" i="1" s="1"/>
  <c r="AP278" i="1"/>
  <c r="D275" i="1" s="1"/>
  <c r="E273" i="1" l="1" a="1"/>
  <c r="E273" i="1" s="1"/>
  <c r="I274" i="1"/>
  <c r="H274" i="1"/>
  <c r="G274" i="1" a="1"/>
  <c r="G274" i="1" s="1"/>
  <c r="AJ277" i="1" s="1"/>
  <c r="F274" i="1" a="1"/>
  <c r="F274" i="1" s="1"/>
  <c r="AI277" i="1" s="1"/>
  <c r="AV279" i="1"/>
  <c r="L276" i="1"/>
  <c r="K276" i="1" s="1" a="1"/>
  <c r="K276" i="1" s="1"/>
  <c r="H275" i="1"/>
  <c r="I275" i="1"/>
  <c r="F275" i="1" a="1"/>
  <c r="F275" i="1" s="1"/>
  <c r="AI278" i="1" s="1"/>
  <c r="G275" i="1" a="1"/>
  <c r="G275" i="1" s="1"/>
  <c r="AJ278" i="1" s="1"/>
  <c r="AP279" i="1"/>
  <c r="E274" i="1" l="1" a="1"/>
  <c r="E274" i="1" s="1"/>
  <c r="E275" i="1" a="1"/>
  <c r="E275" i="1" s="1"/>
  <c r="D276" i="1"/>
  <c r="AV280" i="1"/>
  <c r="L277" i="1"/>
  <c r="K277" i="1" s="1" a="1"/>
  <c r="K277" i="1" s="1"/>
  <c r="AP280" i="1"/>
  <c r="I276" i="1" l="1"/>
  <c r="F276" i="1" a="1"/>
  <c r="F276" i="1" s="1"/>
  <c r="AI279" i="1" s="1"/>
  <c r="H276" i="1"/>
  <c r="G276" i="1" a="1"/>
  <c r="G276" i="1" s="1"/>
  <c r="AJ279" i="1" s="1"/>
  <c r="D277" i="1"/>
  <c r="AV281" i="1"/>
  <c r="L278" i="1"/>
  <c r="K278" i="1" s="1" a="1"/>
  <c r="K278" i="1" s="1"/>
  <c r="AP281" i="1"/>
  <c r="E276" i="1" l="1" a="1"/>
  <c r="E276" i="1" s="1"/>
  <c r="I277" i="1"/>
  <c r="F277" i="1" a="1"/>
  <c r="F277" i="1" s="1"/>
  <c r="AI280" i="1" s="1"/>
  <c r="G277" i="1" a="1"/>
  <c r="G277" i="1" s="1"/>
  <c r="AJ280" i="1" s="1"/>
  <c r="H277" i="1"/>
  <c r="D278" i="1"/>
  <c r="AV282" i="1"/>
  <c r="L279" i="1"/>
  <c r="K279" i="1" s="1" a="1"/>
  <c r="K279" i="1" s="1"/>
  <c r="AP282" i="1"/>
  <c r="D279" i="1" s="1"/>
  <c r="E277" i="1" l="1" a="1"/>
  <c r="E277" i="1" s="1"/>
  <c r="I278" i="1"/>
  <c r="H278" i="1"/>
  <c r="G278" i="1" a="1"/>
  <c r="G278" i="1" s="1"/>
  <c r="AJ281" i="1" s="1"/>
  <c r="F278" i="1" a="1"/>
  <c r="F278" i="1" s="1"/>
  <c r="AI281" i="1" s="1"/>
  <c r="AV283" i="1"/>
  <c r="L280" i="1"/>
  <c r="K280" i="1" s="1" a="1"/>
  <c r="K280" i="1" s="1"/>
  <c r="H279" i="1"/>
  <c r="I279" i="1"/>
  <c r="F279" i="1" a="1"/>
  <c r="F279" i="1" s="1"/>
  <c r="AI282" i="1" s="1"/>
  <c r="G279" i="1" a="1"/>
  <c r="G279" i="1" s="1"/>
  <c r="AJ282" i="1" s="1"/>
  <c r="AP283" i="1"/>
  <c r="E278" i="1" l="1" a="1"/>
  <c r="E278" i="1" s="1"/>
  <c r="E279" i="1" a="1"/>
  <c r="E279" i="1" s="1"/>
  <c r="D280" i="1"/>
  <c r="AV284" i="1"/>
  <c r="L281" i="1"/>
  <c r="K281" i="1" s="1" a="1"/>
  <c r="K281" i="1" s="1"/>
  <c r="AP284" i="1"/>
  <c r="D281" i="1" s="1"/>
  <c r="I280" i="1" l="1"/>
  <c r="F280" i="1" a="1"/>
  <c r="F280" i="1" s="1"/>
  <c r="AI283" i="1" s="1"/>
  <c r="H280" i="1"/>
  <c r="G280" i="1" a="1"/>
  <c r="G280" i="1" s="1"/>
  <c r="AJ283" i="1" s="1"/>
  <c r="AV285" i="1"/>
  <c r="L282" i="1"/>
  <c r="K282" i="1" s="1" a="1"/>
  <c r="K282" i="1" s="1"/>
  <c r="H281" i="1"/>
  <c r="I281" i="1"/>
  <c r="F281" i="1" a="1"/>
  <c r="F281" i="1" s="1"/>
  <c r="AI284" i="1" s="1"/>
  <c r="G281" i="1" a="1"/>
  <c r="G281" i="1" s="1"/>
  <c r="AJ284" i="1" s="1"/>
  <c r="AP285" i="1"/>
  <c r="E281" i="1" l="1" a="1"/>
  <c r="E281" i="1" s="1"/>
  <c r="E280" i="1" a="1"/>
  <c r="E280" i="1" s="1"/>
  <c r="D282" i="1"/>
  <c r="AV286" i="1"/>
  <c r="L283" i="1"/>
  <c r="K283" i="1" s="1" a="1"/>
  <c r="K283" i="1" s="1"/>
  <c r="AP286" i="1"/>
  <c r="D283" i="1" s="1"/>
  <c r="I282" i="1" l="1"/>
  <c r="F282" i="1" a="1"/>
  <c r="F282" i="1" s="1"/>
  <c r="AI285" i="1" s="1"/>
  <c r="H282" i="1"/>
  <c r="G282" i="1" a="1"/>
  <c r="G282" i="1" s="1"/>
  <c r="AJ285" i="1" s="1"/>
  <c r="AV287" i="1"/>
  <c r="L284" i="1"/>
  <c r="K284" i="1" s="1" a="1"/>
  <c r="K284" i="1" s="1"/>
  <c r="H283" i="1"/>
  <c r="I283" i="1"/>
  <c r="F283" i="1" a="1"/>
  <c r="F283" i="1" s="1"/>
  <c r="AI286" i="1" s="1"/>
  <c r="G283" i="1" a="1"/>
  <c r="G283" i="1" s="1"/>
  <c r="AJ286" i="1" s="1"/>
  <c r="AP287" i="1"/>
  <c r="E282" i="1" l="1" a="1"/>
  <c r="E282" i="1" s="1"/>
  <c r="E283" i="1" a="1"/>
  <c r="E283" i="1" s="1"/>
  <c r="D284" i="1"/>
  <c r="AV288" i="1"/>
  <c r="L285" i="1"/>
  <c r="K285" i="1" s="1" a="1"/>
  <c r="K285" i="1" s="1"/>
  <c r="AP288" i="1"/>
  <c r="I284" i="1" l="1"/>
  <c r="H284" i="1"/>
  <c r="F284" i="1" a="1"/>
  <c r="F284" i="1" s="1"/>
  <c r="AI287" i="1" s="1"/>
  <c r="G284" i="1" a="1"/>
  <c r="G284" i="1" s="1"/>
  <c r="AJ287" i="1" s="1"/>
  <c r="D285" i="1"/>
  <c r="AV289" i="1"/>
  <c r="L286" i="1"/>
  <c r="K286" i="1" s="1" a="1"/>
  <c r="K286" i="1" s="1"/>
  <c r="AP289" i="1"/>
  <c r="E284" i="1" l="1" a="1"/>
  <c r="E284" i="1" s="1"/>
  <c r="I285" i="1"/>
  <c r="H285" i="1"/>
  <c r="G285" i="1" a="1"/>
  <c r="G285" i="1" s="1"/>
  <c r="AJ288" i="1" s="1"/>
  <c r="F285" i="1" a="1"/>
  <c r="F285" i="1" s="1"/>
  <c r="AI288" i="1" s="1"/>
  <c r="D286" i="1"/>
  <c r="AV290" i="1"/>
  <c r="L287" i="1"/>
  <c r="K287" i="1" s="1" a="1"/>
  <c r="K287" i="1" s="1"/>
  <c r="AP290" i="1"/>
  <c r="E285" i="1" l="1" a="1"/>
  <c r="E285" i="1" s="1"/>
  <c r="I286" i="1"/>
  <c r="F286" i="1" a="1"/>
  <c r="F286" i="1" s="1"/>
  <c r="AI289" i="1" s="1"/>
  <c r="H286" i="1"/>
  <c r="G286" i="1" a="1"/>
  <c r="G286" i="1" s="1"/>
  <c r="AJ289" i="1" s="1"/>
  <c r="D287" i="1"/>
  <c r="AV291" i="1"/>
  <c r="L288" i="1"/>
  <c r="K288" i="1" s="1" a="1"/>
  <c r="K288" i="1" s="1"/>
  <c r="AP291" i="1"/>
  <c r="E286" i="1" l="1" a="1"/>
  <c r="E286" i="1" s="1"/>
  <c r="I287" i="1"/>
  <c r="F287" i="1" a="1"/>
  <c r="F287" i="1" s="1"/>
  <c r="AI290" i="1" s="1"/>
  <c r="H287" i="1"/>
  <c r="G287" i="1" a="1"/>
  <c r="G287" i="1" s="1"/>
  <c r="AJ290" i="1" s="1"/>
  <c r="D288" i="1"/>
  <c r="AV292" i="1"/>
  <c r="L289" i="1"/>
  <c r="K289" i="1" s="1" a="1"/>
  <c r="K289" i="1" s="1"/>
  <c r="AP292" i="1"/>
  <c r="E287" i="1" l="1" a="1"/>
  <c r="E287" i="1" s="1"/>
  <c r="I288" i="1"/>
  <c r="F288" i="1" a="1"/>
  <c r="F288" i="1" s="1"/>
  <c r="AI291" i="1" s="1"/>
  <c r="H288" i="1"/>
  <c r="G288" i="1" a="1"/>
  <c r="G288" i="1" s="1"/>
  <c r="AJ291" i="1" s="1"/>
  <c r="D289" i="1"/>
  <c r="AV293" i="1"/>
  <c r="L290" i="1"/>
  <c r="K290" i="1" s="1" a="1"/>
  <c r="K290" i="1" s="1"/>
  <c r="AP293" i="1"/>
  <c r="E288" i="1" l="1" a="1"/>
  <c r="E288" i="1" s="1"/>
  <c r="I289" i="1"/>
  <c r="F289" i="1" a="1"/>
  <c r="F289" i="1" s="1"/>
  <c r="AI292" i="1" s="1"/>
  <c r="H289" i="1"/>
  <c r="G289" i="1" a="1"/>
  <c r="G289" i="1" s="1"/>
  <c r="AJ292" i="1" s="1"/>
  <c r="D290" i="1"/>
  <c r="AV294" i="1"/>
  <c r="L291" i="1"/>
  <c r="K291" i="1" s="1" a="1"/>
  <c r="K291" i="1" s="1"/>
  <c r="AP294" i="1"/>
  <c r="E289" i="1" l="1" a="1"/>
  <c r="E289" i="1" s="1"/>
  <c r="I290" i="1"/>
  <c r="F290" i="1" a="1"/>
  <c r="F290" i="1" s="1"/>
  <c r="AI293" i="1" s="1"/>
  <c r="H290" i="1"/>
  <c r="G290" i="1" a="1"/>
  <c r="G290" i="1" s="1"/>
  <c r="AJ293" i="1" s="1"/>
  <c r="D291" i="1"/>
  <c r="AV295" i="1"/>
  <c r="L292" i="1"/>
  <c r="K292" i="1" s="1" a="1"/>
  <c r="K292" i="1" s="1"/>
  <c r="AP295" i="1"/>
  <c r="E290" i="1" l="1" a="1"/>
  <c r="E290" i="1" s="1"/>
  <c r="I291" i="1"/>
  <c r="F291" i="1" a="1"/>
  <c r="F291" i="1" s="1"/>
  <c r="AI294" i="1" s="1"/>
  <c r="H291" i="1"/>
  <c r="G291" i="1" a="1"/>
  <c r="G291" i="1" s="1"/>
  <c r="AJ294" i="1" s="1"/>
  <c r="D292" i="1"/>
  <c r="AV296" i="1"/>
  <c r="L293" i="1"/>
  <c r="K293" i="1" s="1" a="1"/>
  <c r="K293" i="1" s="1"/>
  <c r="AP296" i="1"/>
  <c r="D293" i="1" s="1"/>
  <c r="E291" i="1" l="1" a="1"/>
  <c r="E291" i="1" s="1"/>
  <c r="I292" i="1"/>
  <c r="F292" i="1" a="1"/>
  <c r="F292" i="1" s="1"/>
  <c r="AI295" i="1" s="1"/>
  <c r="H292" i="1"/>
  <c r="G292" i="1" a="1"/>
  <c r="G292" i="1" s="1"/>
  <c r="AJ295" i="1" s="1"/>
  <c r="AV297" i="1"/>
  <c r="L294" i="1"/>
  <c r="K294" i="1" s="1" a="1"/>
  <c r="K294" i="1" s="1"/>
  <c r="H293" i="1"/>
  <c r="I293" i="1"/>
  <c r="F293" i="1" a="1"/>
  <c r="F293" i="1" s="1"/>
  <c r="AI296" i="1" s="1"/>
  <c r="G293" i="1" a="1"/>
  <c r="G293" i="1" s="1"/>
  <c r="AJ296" i="1" s="1"/>
  <c r="AP297" i="1"/>
  <c r="E293" i="1" l="1" a="1"/>
  <c r="E293" i="1" s="1"/>
  <c r="E292" i="1" a="1"/>
  <c r="E292" i="1" s="1"/>
  <c r="D294" i="1"/>
  <c r="AV298" i="1"/>
  <c r="L295" i="1"/>
  <c r="K295" i="1" s="1" a="1"/>
  <c r="K295" i="1" s="1"/>
  <c r="AP298" i="1"/>
  <c r="D295" i="1" s="1"/>
  <c r="I294" i="1" l="1"/>
  <c r="F294" i="1" a="1"/>
  <c r="F294" i="1" s="1"/>
  <c r="AI297" i="1" s="1"/>
  <c r="H294" i="1"/>
  <c r="G294" i="1" a="1"/>
  <c r="G294" i="1" s="1"/>
  <c r="AJ297" i="1" s="1"/>
  <c r="AV299" i="1"/>
  <c r="L296" i="1"/>
  <c r="K296" i="1" s="1" a="1"/>
  <c r="K296" i="1" s="1"/>
  <c r="H295" i="1"/>
  <c r="I295" i="1"/>
  <c r="F295" i="1" a="1"/>
  <c r="F295" i="1" s="1"/>
  <c r="AI298" i="1" s="1"/>
  <c r="G295" i="1" a="1"/>
  <c r="G295" i="1" s="1"/>
  <c r="AJ298" i="1" s="1"/>
  <c r="AP299" i="1"/>
  <c r="E295" i="1" l="1" a="1"/>
  <c r="E295" i="1" s="1"/>
  <c r="E294" i="1" a="1"/>
  <c r="E294" i="1" s="1"/>
  <c r="D296" i="1"/>
  <c r="AV300" i="1"/>
  <c r="L297" i="1"/>
  <c r="K297" i="1" s="1" a="1"/>
  <c r="K297" i="1" s="1"/>
  <c r="AP300" i="1"/>
  <c r="I296" i="1" l="1"/>
  <c r="F296" i="1" a="1"/>
  <c r="F296" i="1" s="1"/>
  <c r="AI299" i="1" s="1"/>
  <c r="H296" i="1"/>
  <c r="G296" i="1" a="1"/>
  <c r="G296" i="1" s="1"/>
  <c r="AJ299" i="1" s="1"/>
  <c r="D297" i="1"/>
  <c r="AV301" i="1"/>
  <c r="L298" i="1"/>
  <c r="K298" i="1" s="1" a="1"/>
  <c r="K298" i="1" s="1"/>
  <c r="AP301" i="1"/>
  <c r="E296" i="1" l="1" a="1"/>
  <c r="E296" i="1" s="1"/>
  <c r="I297" i="1"/>
  <c r="H297" i="1"/>
  <c r="G297" i="1" a="1"/>
  <c r="G297" i="1" s="1"/>
  <c r="AJ300" i="1" s="1"/>
  <c r="F297" i="1" a="1"/>
  <c r="F297" i="1" s="1"/>
  <c r="AI300" i="1" s="1"/>
  <c r="D298" i="1"/>
  <c r="AV302" i="1"/>
  <c r="L299" i="1"/>
  <c r="K299" i="1" s="1" a="1"/>
  <c r="K299" i="1" s="1"/>
  <c r="AP302" i="1"/>
  <c r="E297" i="1" l="1" a="1"/>
  <c r="E297" i="1" s="1"/>
  <c r="I298" i="1"/>
  <c r="F298" i="1" a="1"/>
  <c r="F298" i="1" s="1"/>
  <c r="AI301" i="1" s="1"/>
  <c r="H298" i="1"/>
  <c r="G298" i="1" a="1"/>
  <c r="G298" i="1" s="1"/>
  <c r="AJ301" i="1" s="1"/>
  <c r="D299" i="1"/>
  <c r="AV303" i="1"/>
  <c r="L300" i="1"/>
  <c r="K300" i="1" s="1" a="1"/>
  <c r="K300" i="1" s="1"/>
  <c r="AP303" i="1"/>
  <c r="E298" i="1" l="1" a="1"/>
  <c r="E298" i="1" s="1"/>
  <c r="I299" i="1"/>
  <c r="H299" i="1"/>
  <c r="G299" i="1" a="1"/>
  <c r="G299" i="1" s="1"/>
  <c r="AJ302" i="1" s="1"/>
  <c r="F299" i="1" a="1"/>
  <c r="F299" i="1" s="1"/>
  <c r="AI302" i="1" s="1"/>
  <c r="D300" i="1"/>
  <c r="AV304" i="1"/>
  <c r="L301" i="1"/>
  <c r="K301" i="1" s="1" a="1"/>
  <c r="K301" i="1" s="1"/>
  <c r="AP304" i="1"/>
  <c r="E299" i="1" l="1" a="1"/>
  <c r="E299" i="1" s="1"/>
  <c r="I300" i="1"/>
  <c r="H300" i="1"/>
  <c r="G300" i="1" a="1"/>
  <c r="G300" i="1" s="1"/>
  <c r="AJ303" i="1" s="1"/>
  <c r="F300" i="1" a="1"/>
  <c r="F300" i="1" s="1"/>
  <c r="AI303" i="1" s="1"/>
  <c r="D301" i="1"/>
  <c r="AV305" i="1"/>
  <c r="L302" i="1"/>
  <c r="K302" i="1" s="1" a="1"/>
  <c r="K302" i="1" s="1"/>
  <c r="AP305" i="1"/>
  <c r="E300" i="1" l="1" a="1"/>
  <c r="E300" i="1" s="1"/>
  <c r="I301" i="1"/>
  <c r="H301" i="1"/>
  <c r="G301" i="1" a="1"/>
  <c r="G301" i="1" s="1"/>
  <c r="AJ304" i="1" s="1"/>
  <c r="F301" i="1" a="1"/>
  <c r="F301" i="1" s="1"/>
  <c r="AI304" i="1" s="1"/>
  <c r="D302" i="1"/>
  <c r="AV306" i="1"/>
  <c r="L303" i="1"/>
  <c r="K303" i="1" s="1" a="1"/>
  <c r="K303" i="1" s="1"/>
  <c r="AP306" i="1"/>
  <c r="E301" i="1" l="1" a="1"/>
  <c r="E301" i="1" s="1"/>
  <c r="I302" i="1"/>
  <c r="F302" i="1" a="1"/>
  <c r="F302" i="1" s="1"/>
  <c r="AI305" i="1" s="1"/>
  <c r="G302" i="1" a="1"/>
  <c r="G302" i="1" s="1"/>
  <c r="AJ305" i="1" s="1"/>
  <c r="H302" i="1"/>
  <c r="D303" i="1"/>
  <c r="AV307" i="1"/>
  <c r="L304" i="1"/>
  <c r="K304" i="1" s="1" a="1"/>
  <c r="K304" i="1" s="1"/>
  <c r="AP307" i="1"/>
  <c r="E302" i="1" l="1" a="1"/>
  <c r="E302" i="1" s="1"/>
  <c r="I303" i="1"/>
  <c r="H303" i="1"/>
  <c r="G303" i="1" a="1"/>
  <c r="G303" i="1" s="1"/>
  <c r="AJ306" i="1" s="1"/>
  <c r="F303" i="1" a="1"/>
  <c r="F303" i="1" s="1"/>
  <c r="AI306" i="1" s="1"/>
  <c r="D304" i="1"/>
  <c r="AV308" i="1"/>
  <c r="L305" i="1"/>
  <c r="K305" i="1" s="1" a="1"/>
  <c r="K305" i="1" s="1"/>
  <c r="AP308" i="1"/>
  <c r="E303" i="1" l="1" a="1"/>
  <c r="E303" i="1" s="1"/>
  <c r="I304" i="1"/>
  <c r="F304" i="1" a="1"/>
  <c r="F304" i="1" s="1"/>
  <c r="AI307" i="1" s="1"/>
  <c r="H304" i="1"/>
  <c r="G304" i="1" a="1"/>
  <c r="G304" i="1" s="1"/>
  <c r="AJ307" i="1" s="1"/>
  <c r="D305" i="1"/>
  <c r="AV309" i="1"/>
  <c r="L306" i="1"/>
  <c r="K306" i="1" s="1" a="1"/>
  <c r="K306" i="1" s="1"/>
  <c r="AP309" i="1"/>
  <c r="E304" i="1" l="1" a="1"/>
  <c r="E304" i="1" s="1"/>
  <c r="I305" i="1"/>
  <c r="F305" i="1" a="1"/>
  <c r="F305" i="1" s="1"/>
  <c r="AI308" i="1" s="1"/>
  <c r="H305" i="1"/>
  <c r="G305" i="1" a="1"/>
  <c r="G305" i="1" s="1"/>
  <c r="AJ308" i="1" s="1"/>
  <c r="D306" i="1"/>
  <c r="AV310" i="1"/>
  <c r="L307" i="1"/>
  <c r="K307" i="1" s="1" a="1"/>
  <c r="K307" i="1" s="1"/>
  <c r="AP310" i="1"/>
  <c r="E305" i="1" l="1" a="1"/>
  <c r="E305" i="1" s="1"/>
  <c r="I306" i="1"/>
  <c r="F306" i="1" a="1"/>
  <c r="F306" i="1" s="1"/>
  <c r="AI309" i="1" s="1"/>
  <c r="H306" i="1"/>
  <c r="G306" i="1" a="1"/>
  <c r="G306" i="1" s="1"/>
  <c r="AJ309" i="1" s="1"/>
  <c r="D307" i="1"/>
  <c r="AV311" i="1"/>
  <c r="L308" i="1"/>
  <c r="K308" i="1" s="1" a="1"/>
  <c r="K308" i="1" s="1"/>
  <c r="AP311" i="1"/>
  <c r="E306" i="1" l="1" a="1"/>
  <c r="E306" i="1" s="1"/>
  <c r="I307" i="1"/>
  <c r="F307" i="1" a="1"/>
  <c r="F307" i="1" s="1"/>
  <c r="AI310" i="1" s="1"/>
  <c r="H307" i="1"/>
  <c r="G307" i="1" a="1"/>
  <c r="G307" i="1" s="1"/>
  <c r="AJ310" i="1" s="1"/>
  <c r="D308" i="1"/>
  <c r="AV312" i="1"/>
  <c r="L309" i="1"/>
  <c r="K309" i="1" s="1" a="1"/>
  <c r="K309" i="1" s="1"/>
  <c r="AP312" i="1"/>
  <c r="E307" i="1" l="1" a="1"/>
  <c r="E307" i="1" s="1"/>
  <c r="I308" i="1"/>
  <c r="F308" i="1" a="1"/>
  <c r="F308" i="1" s="1"/>
  <c r="AI311" i="1" s="1"/>
  <c r="H308" i="1"/>
  <c r="G308" i="1" a="1"/>
  <c r="G308" i="1" s="1"/>
  <c r="AJ311" i="1" s="1"/>
  <c r="D309" i="1"/>
  <c r="AV313" i="1"/>
  <c r="L310" i="1"/>
  <c r="K310" i="1" s="1" a="1"/>
  <c r="K310" i="1" s="1"/>
  <c r="AP313" i="1"/>
  <c r="E308" i="1" l="1" a="1"/>
  <c r="E308" i="1" s="1"/>
  <c r="I309" i="1"/>
  <c r="H309" i="1"/>
  <c r="F309" i="1" a="1"/>
  <c r="F309" i="1" s="1"/>
  <c r="AI312" i="1" s="1"/>
  <c r="G309" i="1" a="1"/>
  <c r="G309" i="1" s="1"/>
  <c r="AJ312" i="1" s="1"/>
  <c r="D310" i="1"/>
  <c r="AV314" i="1"/>
  <c r="L311" i="1"/>
  <c r="K311" i="1" s="1" a="1"/>
  <c r="K311" i="1" s="1"/>
  <c r="AP314" i="1"/>
  <c r="E309" i="1" l="1" a="1"/>
  <c r="E309" i="1" s="1"/>
  <c r="I310" i="1"/>
  <c r="H310" i="1"/>
  <c r="G310" i="1" a="1"/>
  <c r="G310" i="1" s="1"/>
  <c r="AJ313" i="1" s="1"/>
  <c r="F310" i="1" a="1"/>
  <c r="F310" i="1" s="1"/>
  <c r="AI313" i="1" s="1"/>
  <c r="D311" i="1"/>
  <c r="AV315" i="1"/>
  <c r="L312" i="1"/>
  <c r="K312" i="1" s="1" a="1"/>
  <c r="K312" i="1" s="1"/>
  <c r="AP315" i="1"/>
  <c r="D312" i="1" s="1"/>
  <c r="E310" i="1" l="1" a="1"/>
  <c r="E310" i="1" s="1"/>
  <c r="I311" i="1"/>
  <c r="F311" i="1" a="1"/>
  <c r="F311" i="1" s="1"/>
  <c r="AI314" i="1" s="1"/>
  <c r="H311" i="1"/>
  <c r="G311" i="1" a="1"/>
  <c r="G311" i="1" s="1"/>
  <c r="AJ314" i="1" s="1"/>
  <c r="AV316" i="1"/>
  <c r="L313" i="1"/>
  <c r="K313" i="1" s="1" a="1"/>
  <c r="K313" i="1" s="1"/>
  <c r="H312" i="1"/>
  <c r="I312" i="1"/>
  <c r="F312" i="1" a="1"/>
  <c r="F312" i="1" s="1"/>
  <c r="AI315" i="1" s="1"/>
  <c r="G312" i="1" a="1"/>
  <c r="G312" i="1" s="1"/>
  <c r="AJ315" i="1" s="1"/>
  <c r="AP316" i="1"/>
  <c r="E312" i="1" l="1" a="1"/>
  <c r="E312" i="1" s="1"/>
  <c r="E311" i="1" a="1"/>
  <c r="E311" i="1" s="1"/>
  <c r="D313" i="1"/>
  <c r="AV317" i="1"/>
  <c r="L314" i="1"/>
  <c r="K314" i="1" s="1" a="1"/>
  <c r="K314" i="1" s="1"/>
  <c r="AP317" i="1"/>
  <c r="I313" i="1" l="1"/>
  <c r="F313" i="1" a="1"/>
  <c r="F313" i="1" s="1"/>
  <c r="AI316" i="1" s="1"/>
  <c r="H313" i="1"/>
  <c r="G313" i="1" a="1"/>
  <c r="G313" i="1" s="1"/>
  <c r="AJ316" i="1" s="1"/>
  <c r="D314" i="1"/>
  <c r="AV318" i="1"/>
  <c r="L315" i="1"/>
  <c r="K315" i="1" s="1" a="1"/>
  <c r="K315" i="1" s="1"/>
  <c r="AP318" i="1"/>
  <c r="E313" i="1" l="1" a="1"/>
  <c r="E313" i="1" s="1"/>
  <c r="I314" i="1"/>
  <c r="H314" i="1"/>
  <c r="F314" i="1" a="1"/>
  <c r="F314" i="1" s="1"/>
  <c r="AI317" i="1" s="1"/>
  <c r="G314" i="1" a="1"/>
  <c r="G314" i="1" s="1"/>
  <c r="AJ317" i="1" s="1"/>
  <c r="D315" i="1"/>
  <c r="AV319" i="1"/>
  <c r="L316" i="1"/>
  <c r="K316" i="1" s="1" a="1"/>
  <c r="K316" i="1" s="1"/>
  <c r="AP319" i="1"/>
  <c r="E314" i="1" l="1" a="1"/>
  <c r="E314" i="1" s="1"/>
  <c r="I315" i="1"/>
  <c r="H315" i="1"/>
  <c r="G315" i="1" a="1"/>
  <c r="G315" i="1" s="1"/>
  <c r="AJ318" i="1" s="1"/>
  <c r="F315" i="1" a="1"/>
  <c r="F315" i="1" s="1"/>
  <c r="AI318" i="1" s="1"/>
  <c r="D316" i="1"/>
  <c r="AV320" i="1"/>
  <c r="L317" i="1"/>
  <c r="K317" i="1" s="1" a="1"/>
  <c r="K317" i="1" s="1"/>
  <c r="AP320" i="1"/>
  <c r="E315" i="1" l="1" a="1"/>
  <c r="E315" i="1" s="1"/>
  <c r="I316" i="1"/>
  <c r="G316" i="1" a="1"/>
  <c r="G316" i="1" s="1"/>
  <c r="AJ319" i="1" s="1"/>
  <c r="H316" i="1"/>
  <c r="F316" i="1" a="1"/>
  <c r="F316" i="1" s="1"/>
  <c r="AI319" i="1" s="1"/>
  <c r="D317" i="1"/>
  <c r="AV321" i="1"/>
  <c r="L318" i="1"/>
  <c r="K318" i="1" s="1" a="1"/>
  <c r="K318" i="1" s="1"/>
  <c r="AP321" i="1"/>
  <c r="E316" i="1" l="1" a="1"/>
  <c r="E316" i="1" s="1"/>
  <c r="I317" i="1"/>
  <c r="H317" i="1"/>
  <c r="G317" i="1" a="1"/>
  <c r="G317" i="1" s="1"/>
  <c r="AJ320" i="1" s="1"/>
  <c r="F317" i="1" a="1"/>
  <c r="F317" i="1" s="1"/>
  <c r="AI320" i="1" s="1"/>
  <c r="D318" i="1"/>
  <c r="AV322" i="1"/>
  <c r="L319" i="1"/>
  <c r="K319" i="1" s="1" a="1"/>
  <c r="K319" i="1" s="1"/>
  <c r="AP322" i="1"/>
  <c r="E317" i="1" l="1" a="1"/>
  <c r="E317" i="1" s="1"/>
  <c r="I318" i="1"/>
  <c r="H318" i="1"/>
  <c r="G318" i="1" a="1"/>
  <c r="G318" i="1" s="1"/>
  <c r="AJ321" i="1" s="1"/>
  <c r="F318" i="1" a="1"/>
  <c r="F318" i="1" s="1"/>
  <c r="AI321" i="1" s="1"/>
  <c r="D319" i="1"/>
  <c r="AV323" i="1"/>
  <c r="L320" i="1"/>
  <c r="K320" i="1" s="1" a="1"/>
  <c r="K320" i="1" s="1"/>
  <c r="AP323" i="1"/>
  <c r="D320" i="1" s="1"/>
  <c r="E318" i="1" l="1" a="1"/>
  <c r="E318" i="1" s="1"/>
  <c r="I319" i="1"/>
  <c r="H319" i="1"/>
  <c r="F319" i="1" a="1"/>
  <c r="F319" i="1" s="1"/>
  <c r="AI322" i="1" s="1"/>
  <c r="G319" i="1" a="1"/>
  <c r="G319" i="1" s="1"/>
  <c r="AJ322" i="1" s="1"/>
  <c r="AV324" i="1"/>
  <c r="L321" i="1"/>
  <c r="K321" i="1" s="1" a="1"/>
  <c r="K321" i="1" s="1"/>
  <c r="H320" i="1"/>
  <c r="I320" i="1"/>
  <c r="F320" i="1" a="1"/>
  <c r="F320" i="1" s="1"/>
  <c r="AI323" i="1" s="1"/>
  <c r="G320" i="1" a="1"/>
  <c r="G320" i="1" s="1"/>
  <c r="AJ323" i="1" s="1"/>
  <c r="AP324" i="1"/>
  <c r="E320" i="1" l="1" a="1"/>
  <c r="E320" i="1" s="1"/>
  <c r="E319" i="1" a="1"/>
  <c r="E319" i="1" s="1"/>
  <c r="D321" i="1"/>
  <c r="AV325" i="1"/>
  <c r="L322" i="1"/>
  <c r="K322" i="1" s="1" a="1"/>
  <c r="K322" i="1" s="1"/>
  <c r="AP325" i="1"/>
  <c r="D322" i="1" s="1"/>
  <c r="I321" i="1" l="1"/>
  <c r="F321" i="1" a="1"/>
  <c r="F321" i="1" s="1"/>
  <c r="AI324" i="1" s="1"/>
  <c r="H321" i="1"/>
  <c r="G321" i="1" a="1"/>
  <c r="G321" i="1" s="1"/>
  <c r="AJ324" i="1" s="1"/>
  <c r="AV326" i="1"/>
  <c r="L323" i="1"/>
  <c r="K323" i="1" s="1" a="1"/>
  <c r="K323" i="1" s="1"/>
  <c r="H322" i="1"/>
  <c r="I322" i="1"/>
  <c r="F322" i="1" a="1"/>
  <c r="F322" i="1" s="1"/>
  <c r="AI325" i="1" s="1"/>
  <c r="G322" i="1" a="1"/>
  <c r="G322" i="1" s="1"/>
  <c r="AJ325" i="1" s="1"/>
  <c r="AP326" i="1"/>
  <c r="E321" i="1" l="1" a="1"/>
  <c r="E321" i="1" s="1"/>
  <c r="E322" i="1" a="1"/>
  <c r="E322" i="1" s="1"/>
  <c r="D323" i="1"/>
  <c r="AV327" i="1"/>
  <c r="L324" i="1"/>
  <c r="K324" i="1" s="1" a="1"/>
  <c r="K324" i="1" s="1"/>
  <c r="AP327" i="1"/>
  <c r="I323" i="1" l="1"/>
  <c r="F323" i="1" a="1"/>
  <c r="F323" i="1" s="1"/>
  <c r="AI326" i="1" s="1"/>
  <c r="H323" i="1"/>
  <c r="G323" i="1" a="1"/>
  <c r="G323" i="1" s="1"/>
  <c r="AJ326" i="1" s="1"/>
  <c r="D324" i="1"/>
  <c r="AV328" i="1"/>
  <c r="L325" i="1"/>
  <c r="K325" i="1" s="1" a="1"/>
  <c r="K325" i="1" s="1"/>
  <c r="AP328" i="1"/>
  <c r="E323" i="1" l="1" a="1"/>
  <c r="E323" i="1" s="1"/>
  <c r="I324" i="1"/>
  <c r="H324" i="1"/>
  <c r="F324" i="1" a="1"/>
  <c r="F324" i="1" s="1"/>
  <c r="AI327" i="1" s="1"/>
  <c r="G324" i="1" a="1"/>
  <c r="G324" i="1" s="1"/>
  <c r="AJ327" i="1" s="1"/>
  <c r="D325" i="1"/>
  <c r="AV329" i="1"/>
  <c r="L326" i="1"/>
  <c r="K326" i="1" s="1" a="1"/>
  <c r="K326" i="1" s="1"/>
  <c r="AP329" i="1"/>
  <c r="E324" i="1" l="1" a="1"/>
  <c r="E324" i="1" s="1"/>
  <c r="I325" i="1"/>
  <c r="H325" i="1"/>
  <c r="G325" i="1" a="1"/>
  <c r="G325" i="1" s="1"/>
  <c r="AJ328" i="1" s="1"/>
  <c r="F325" i="1" a="1"/>
  <c r="F325" i="1" s="1"/>
  <c r="AI328" i="1" s="1"/>
  <c r="D326" i="1"/>
  <c r="AV330" i="1"/>
  <c r="L327" i="1"/>
  <c r="K327" i="1" s="1" a="1"/>
  <c r="K327" i="1" s="1"/>
  <c r="AP330" i="1"/>
  <c r="E325" i="1" l="1" a="1"/>
  <c r="E325" i="1" s="1"/>
  <c r="I326" i="1"/>
  <c r="F326" i="1" a="1"/>
  <c r="F326" i="1" s="1"/>
  <c r="AI329" i="1" s="1"/>
  <c r="H326" i="1"/>
  <c r="G326" i="1" a="1"/>
  <c r="G326" i="1" s="1"/>
  <c r="AJ329" i="1" s="1"/>
  <c r="D327" i="1"/>
  <c r="AV331" i="1"/>
  <c r="L328" i="1"/>
  <c r="K328" i="1" s="1" a="1"/>
  <c r="K328" i="1" s="1"/>
  <c r="AP331" i="1"/>
  <c r="E326" i="1" l="1" a="1"/>
  <c r="E326" i="1" s="1"/>
  <c r="I327" i="1"/>
  <c r="F327" i="1" a="1"/>
  <c r="F327" i="1" s="1"/>
  <c r="AI330" i="1" s="1"/>
  <c r="H327" i="1"/>
  <c r="G327" i="1" a="1"/>
  <c r="G327" i="1" s="1"/>
  <c r="AJ330" i="1" s="1"/>
  <c r="D328" i="1"/>
  <c r="AV332" i="1"/>
  <c r="L329" i="1"/>
  <c r="K329" i="1" s="1" a="1"/>
  <c r="K329" i="1" s="1"/>
  <c r="AP332" i="1"/>
  <c r="E327" i="1" l="1" a="1"/>
  <c r="E327" i="1" s="1"/>
  <c r="I328" i="1"/>
  <c r="H328" i="1"/>
  <c r="F328" i="1" a="1"/>
  <c r="F328" i="1" s="1"/>
  <c r="AI331" i="1" s="1"/>
  <c r="G328" i="1" a="1"/>
  <c r="G328" i="1" s="1"/>
  <c r="AJ331" i="1" s="1"/>
  <c r="D329" i="1"/>
  <c r="AV333" i="1"/>
  <c r="L330" i="1"/>
  <c r="K330" i="1" s="1" a="1"/>
  <c r="K330" i="1" s="1"/>
  <c r="AP333" i="1"/>
  <c r="E328" i="1" l="1" a="1"/>
  <c r="E328" i="1" s="1"/>
  <c r="I329" i="1"/>
  <c r="H329" i="1"/>
  <c r="G329" i="1" a="1"/>
  <c r="G329" i="1" s="1"/>
  <c r="AJ332" i="1" s="1"/>
  <c r="F329" i="1" a="1"/>
  <c r="F329" i="1" s="1"/>
  <c r="AI332" i="1" s="1"/>
  <c r="D330" i="1"/>
  <c r="AV334" i="1"/>
  <c r="L331" i="1"/>
  <c r="K331" i="1" s="1" a="1"/>
  <c r="K331" i="1" s="1"/>
  <c r="AP334" i="1"/>
  <c r="E329" i="1" l="1" a="1"/>
  <c r="E329" i="1" s="1"/>
  <c r="I330" i="1"/>
  <c r="F330" i="1" a="1"/>
  <c r="F330" i="1" s="1"/>
  <c r="AI333" i="1" s="1"/>
  <c r="H330" i="1"/>
  <c r="G330" i="1" a="1"/>
  <c r="G330" i="1" s="1"/>
  <c r="AJ333" i="1" s="1"/>
  <c r="D331" i="1"/>
  <c r="AV335" i="1"/>
  <c r="L332" i="1"/>
  <c r="K332" i="1" s="1" a="1"/>
  <c r="K332" i="1" s="1"/>
  <c r="AP335" i="1"/>
  <c r="E330" i="1" l="1" a="1"/>
  <c r="E330" i="1" s="1"/>
  <c r="I331" i="1"/>
  <c r="H331" i="1"/>
  <c r="F331" i="1" a="1"/>
  <c r="F331" i="1" s="1"/>
  <c r="AI334" i="1" s="1"/>
  <c r="G331" i="1" a="1"/>
  <c r="G331" i="1" s="1"/>
  <c r="AJ334" i="1" s="1"/>
  <c r="D332" i="1"/>
  <c r="AV336" i="1"/>
  <c r="L333" i="1"/>
  <c r="K333" i="1" s="1" a="1"/>
  <c r="K333" i="1" s="1"/>
  <c r="AP336" i="1"/>
  <c r="E331" i="1" l="1" a="1"/>
  <c r="E331" i="1" s="1"/>
  <c r="I332" i="1"/>
  <c r="F332" i="1" a="1"/>
  <c r="F332" i="1" s="1"/>
  <c r="AI335" i="1" s="1"/>
  <c r="H332" i="1"/>
  <c r="D333" i="1"/>
  <c r="G332" i="1" a="1"/>
  <c r="G332" i="1" s="1"/>
  <c r="AJ335" i="1" s="1"/>
  <c r="AV337" i="1"/>
  <c r="L334" i="1"/>
  <c r="K334" i="1" s="1" a="1"/>
  <c r="K334" i="1" s="1"/>
  <c r="AP337" i="1"/>
  <c r="E332" i="1" l="1" a="1"/>
  <c r="E332" i="1" s="1"/>
  <c r="I333" i="1"/>
  <c r="H333" i="1"/>
  <c r="G333" i="1" a="1"/>
  <c r="G333" i="1" s="1"/>
  <c r="AJ336" i="1" s="1"/>
  <c r="F333" i="1" a="1"/>
  <c r="F333" i="1" s="1"/>
  <c r="AI336" i="1" s="1"/>
  <c r="D334" i="1"/>
  <c r="AV338" i="1"/>
  <c r="L335" i="1"/>
  <c r="K335" i="1" s="1" a="1"/>
  <c r="K335" i="1" s="1"/>
  <c r="AP338" i="1"/>
  <c r="D335" i="1" s="1"/>
  <c r="E333" i="1" l="1" a="1"/>
  <c r="E333" i="1" s="1"/>
  <c r="I334" i="1"/>
  <c r="H334" i="1"/>
  <c r="G334" i="1" a="1"/>
  <c r="G334" i="1" s="1"/>
  <c r="AJ337" i="1" s="1"/>
  <c r="F334" i="1" a="1"/>
  <c r="F334" i="1" s="1"/>
  <c r="AI337" i="1" s="1"/>
  <c r="AV339" i="1"/>
  <c r="L336" i="1"/>
  <c r="K336" i="1" s="1" a="1"/>
  <c r="K336" i="1" s="1"/>
  <c r="H335" i="1"/>
  <c r="I335" i="1"/>
  <c r="F335" i="1" a="1"/>
  <c r="F335" i="1" s="1"/>
  <c r="AI338" i="1" s="1"/>
  <c r="G335" i="1" a="1"/>
  <c r="G335" i="1" s="1"/>
  <c r="AJ338" i="1" s="1"/>
  <c r="AP339" i="1"/>
  <c r="E334" i="1" l="1" a="1"/>
  <c r="E334" i="1" s="1"/>
  <c r="E335" i="1" a="1"/>
  <c r="E335" i="1" s="1"/>
  <c r="D336" i="1"/>
  <c r="AV340" i="1"/>
  <c r="L337" i="1"/>
  <c r="K337" i="1" s="1" a="1"/>
  <c r="K337" i="1" s="1"/>
  <c r="AP340" i="1"/>
  <c r="I336" i="1" l="1"/>
  <c r="F336" i="1" a="1"/>
  <c r="F336" i="1" s="1"/>
  <c r="AI339" i="1" s="1"/>
  <c r="H336" i="1"/>
  <c r="G336" i="1" a="1"/>
  <c r="G336" i="1" s="1"/>
  <c r="AJ339" i="1" s="1"/>
  <c r="D337" i="1"/>
  <c r="AV341" i="1"/>
  <c r="L338" i="1"/>
  <c r="K338" i="1" s="1" a="1"/>
  <c r="K338" i="1" s="1"/>
  <c r="AP341" i="1"/>
  <c r="E336" i="1" l="1" a="1"/>
  <c r="E336" i="1" s="1"/>
  <c r="I337" i="1"/>
  <c r="F337" i="1" a="1"/>
  <c r="F337" i="1" s="1"/>
  <c r="AI340" i="1" s="1"/>
  <c r="H337" i="1"/>
  <c r="G337" i="1" a="1"/>
  <c r="G337" i="1" s="1"/>
  <c r="AJ340" i="1" s="1"/>
  <c r="D338" i="1"/>
  <c r="AV342" i="1"/>
  <c r="L339" i="1"/>
  <c r="K339" i="1" s="1" a="1"/>
  <c r="K339" i="1" s="1"/>
  <c r="AP342" i="1"/>
  <c r="E337" i="1" l="1" a="1"/>
  <c r="E337" i="1" s="1"/>
  <c r="I338" i="1"/>
  <c r="F338" i="1" a="1"/>
  <c r="F338" i="1" s="1"/>
  <c r="AI341" i="1" s="1"/>
  <c r="H338" i="1"/>
  <c r="G338" i="1" a="1"/>
  <c r="G338" i="1" s="1"/>
  <c r="AJ341" i="1" s="1"/>
  <c r="D339" i="1"/>
  <c r="AV343" i="1"/>
  <c r="L340" i="1"/>
  <c r="K340" i="1" s="1" a="1"/>
  <c r="K340" i="1" s="1"/>
  <c r="AP343" i="1"/>
  <c r="D340" i="1" s="1"/>
  <c r="E338" i="1" l="1" a="1"/>
  <c r="E338" i="1" s="1"/>
  <c r="I339" i="1"/>
  <c r="H339" i="1"/>
  <c r="G339" i="1" a="1"/>
  <c r="G339" i="1" s="1"/>
  <c r="AJ342" i="1" s="1"/>
  <c r="F339" i="1" a="1"/>
  <c r="F339" i="1" s="1"/>
  <c r="AI342" i="1" s="1"/>
  <c r="AV344" i="1"/>
  <c r="L341" i="1"/>
  <c r="K341" i="1" s="1" a="1"/>
  <c r="K341" i="1" s="1"/>
  <c r="H340" i="1"/>
  <c r="I340" i="1"/>
  <c r="F340" i="1" a="1"/>
  <c r="F340" i="1" s="1"/>
  <c r="AI343" i="1" s="1"/>
  <c r="G340" i="1" a="1"/>
  <c r="G340" i="1" s="1"/>
  <c r="AJ343" i="1" s="1"/>
  <c r="AP344" i="1"/>
  <c r="E339" i="1" l="1" a="1"/>
  <c r="E339" i="1" s="1"/>
  <c r="E340" i="1" a="1"/>
  <c r="E340" i="1" s="1"/>
  <c r="D341" i="1"/>
  <c r="AV345" i="1"/>
  <c r="L342" i="1"/>
  <c r="K342" i="1" s="1" a="1"/>
  <c r="K342" i="1" s="1"/>
  <c r="AP345" i="1"/>
  <c r="I341" i="1" l="1"/>
  <c r="F341" i="1" a="1"/>
  <c r="F341" i="1" s="1"/>
  <c r="AI344" i="1" s="1"/>
  <c r="G341" i="1" a="1"/>
  <c r="G341" i="1" s="1"/>
  <c r="AJ344" i="1" s="1"/>
  <c r="H341" i="1"/>
  <c r="D342" i="1"/>
  <c r="AV346" i="1"/>
  <c r="L343" i="1"/>
  <c r="K343" i="1" s="1" a="1"/>
  <c r="K343" i="1" s="1"/>
  <c r="AP346" i="1"/>
  <c r="E341" i="1" l="1" a="1"/>
  <c r="E341" i="1" s="1"/>
  <c r="I342" i="1"/>
  <c r="F342" i="1" a="1"/>
  <c r="F342" i="1" s="1"/>
  <c r="AI345" i="1" s="1"/>
  <c r="H342" i="1"/>
  <c r="G342" i="1" a="1"/>
  <c r="G342" i="1" s="1"/>
  <c r="AJ345" i="1" s="1"/>
  <c r="D343" i="1"/>
  <c r="AV347" i="1"/>
  <c r="L344" i="1"/>
  <c r="K344" i="1" s="1" a="1"/>
  <c r="K344" i="1" s="1"/>
  <c r="AP347" i="1"/>
  <c r="D344" i="1" s="1"/>
  <c r="E342" i="1" l="1" a="1"/>
  <c r="E342" i="1" s="1"/>
  <c r="I343" i="1"/>
  <c r="F343" i="1" a="1"/>
  <c r="F343" i="1" s="1"/>
  <c r="AI346" i="1" s="1"/>
  <c r="H343" i="1"/>
  <c r="G343" i="1" a="1"/>
  <c r="G343" i="1" s="1"/>
  <c r="AJ346" i="1" s="1"/>
  <c r="AV348" i="1"/>
  <c r="L345" i="1"/>
  <c r="K345" i="1" s="1" a="1"/>
  <c r="K345" i="1" s="1"/>
  <c r="H344" i="1"/>
  <c r="I344" i="1"/>
  <c r="F344" i="1" a="1"/>
  <c r="F344" i="1" s="1"/>
  <c r="AI347" i="1" s="1"/>
  <c r="G344" i="1" a="1"/>
  <c r="G344" i="1" s="1"/>
  <c r="AJ347" i="1" s="1"/>
  <c r="AP348" i="1"/>
  <c r="E344" i="1" l="1" a="1"/>
  <c r="E344" i="1" s="1"/>
  <c r="E343" i="1" a="1"/>
  <c r="E343" i="1" s="1"/>
  <c r="D345" i="1"/>
  <c r="AV349" i="1"/>
  <c r="L346" i="1"/>
  <c r="K346" i="1" s="1" a="1"/>
  <c r="K346" i="1" s="1"/>
  <c r="AP349" i="1"/>
  <c r="I345" i="1" l="1"/>
  <c r="F345" i="1" a="1"/>
  <c r="F345" i="1" s="1"/>
  <c r="AI348" i="1" s="1"/>
  <c r="H345" i="1"/>
  <c r="G345" i="1" a="1"/>
  <c r="G345" i="1" s="1"/>
  <c r="AJ348" i="1" s="1"/>
  <c r="D346" i="1"/>
  <c r="AV350" i="1"/>
  <c r="L347" i="1"/>
  <c r="K347" i="1" s="1" a="1"/>
  <c r="K347" i="1" s="1"/>
  <c r="AP350" i="1"/>
  <c r="E345" i="1" l="1" a="1"/>
  <c r="E345" i="1" s="1"/>
  <c r="I346" i="1"/>
  <c r="H346" i="1"/>
  <c r="G346" i="1" a="1"/>
  <c r="G346" i="1" s="1"/>
  <c r="AJ349" i="1" s="1"/>
  <c r="F346" i="1" a="1"/>
  <c r="F346" i="1" s="1"/>
  <c r="AI349" i="1" s="1"/>
  <c r="D347" i="1"/>
  <c r="AV351" i="1"/>
  <c r="L348" i="1"/>
  <c r="K348" i="1" s="1" a="1"/>
  <c r="K348" i="1" s="1"/>
  <c r="AP351" i="1"/>
  <c r="E346" i="1" l="1" a="1"/>
  <c r="E346" i="1" s="1"/>
  <c r="I347" i="1"/>
  <c r="F347" i="1" a="1"/>
  <c r="F347" i="1" s="1"/>
  <c r="AI350" i="1" s="1"/>
  <c r="H347" i="1"/>
  <c r="G347" i="1" a="1"/>
  <c r="G347" i="1" s="1"/>
  <c r="AJ350" i="1" s="1"/>
  <c r="D348" i="1"/>
  <c r="AV352" i="1"/>
  <c r="L349" i="1"/>
  <c r="K349" i="1" s="1" a="1"/>
  <c r="K349" i="1" s="1"/>
  <c r="AP352" i="1"/>
  <c r="E347" i="1" l="1" a="1"/>
  <c r="E347" i="1" s="1"/>
  <c r="I348" i="1"/>
  <c r="F348" i="1" a="1"/>
  <c r="F348" i="1" s="1"/>
  <c r="AI351" i="1" s="1"/>
  <c r="H348" i="1"/>
  <c r="G348" i="1" a="1"/>
  <c r="G348" i="1" s="1"/>
  <c r="AJ351" i="1" s="1"/>
  <c r="D349" i="1"/>
  <c r="AV353" i="1"/>
  <c r="L350" i="1"/>
  <c r="K350" i="1" s="1" a="1"/>
  <c r="K350" i="1" s="1"/>
  <c r="AP353" i="1"/>
  <c r="E348" i="1" l="1" a="1"/>
  <c r="E348" i="1" s="1"/>
  <c r="I349" i="1"/>
  <c r="F349" i="1" a="1"/>
  <c r="F349" i="1" s="1"/>
  <c r="AI352" i="1" s="1"/>
  <c r="H349" i="1"/>
  <c r="G349" i="1" a="1"/>
  <c r="G349" i="1" s="1"/>
  <c r="AJ352" i="1" s="1"/>
  <c r="D350" i="1"/>
  <c r="AV354" i="1"/>
  <c r="L351" i="1"/>
  <c r="K351" i="1" s="1" a="1"/>
  <c r="K351" i="1" s="1"/>
  <c r="AP354" i="1"/>
  <c r="E349" i="1" l="1" a="1"/>
  <c r="E349" i="1" s="1"/>
  <c r="I350" i="1"/>
  <c r="F350" i="1" a="1"/>
  <c r="F350" i="1" s="1"/>
  <c r="AI353" i="1" s="1"/>
  <c r="H350" i="1"/>
  <c r="G350" i="1" a="1"/>
  <c r="G350" i="1" s="1"/>
  <c r="AJ353" i="1" s="1"/>
  <c r="D351" i="1"/>
  <c r="L352" i="1"/>
  <c r="K352" i="1" s="1" a="1"/>
  <c r="K352" i="1" s="1"/>
  <c r="AP355" i="1"/>
  <c r="E350" i="1" l="1" a="1"/>
  <c r="E350" i="1" s="1"/>
  <c r="I351" i="1"/>
  <c r="F351" i="1" a="1"/>
  <c r="F351" i="1" s="1"/>
  <c r="AI354" i="1" s="1"/>
  <c r="H351" i="1"/>
  <c r="G351" i="1" a="1"/>
  <c r="G351" i="1" s="1"/>
  <c r="AJ354" i="1" s="1"/>
  <c r="D352" i="1"/>
  <c r="AP356" i="1"/>
  <c r="E351" i="1" l="1" a="1"/>
  <c r="E351" i="1" s="1"/>
  <c r="I352" i="1"/>
  <c r="D353" i="1"/>
  <c r="F352" i="1" a="1"/>
  <c r="F352" i="1" s="1"/>
  <c r="AI355" i="1" s="1"/>
  <c r="H352" i="1"/>
  <c r="G352" i="1" a="1"/>
  <c r="G352" i="1" s="1"/>
  <c r="AJ355" i="1" s="1"/>
  <c r="AP357" i="1"/>
  <c r="E352" i="1" l="1" a="1"/>
  <c r="E352" i="1" s="1"/>
  <c r="I353" i="1"/>
  <c r="F353" i="1" a="1"/>
  <c r="F353" i="1" s="1"/>
  <c r="AI356" i="1" s="1"/>
  <c r="H353" i="1"/>
  <c r="G353" i="1" a="1"/>
  <c r="G353" i="1" s="1"/>
  <c r="AJ356" i="1" s="1"/>
  <c r="D354" i="1"/>
  <c r="AP358" i="1"/>
  <c r="E353" i="1" l="1" a="1"/>
  <c r="E353" i="1" s="1"/>
  <c r="I354" i="1"/>
  <c r="D355" i="1"/>
  <c r="F354" i="1" a="1"/>
  <c r="F354" i="1" s="1"/>
  <c r="AI357" i="1" s="1"/>
  <c r="H354" i="1"/>
  <c r="G354" i="1" a="1"/>
  <c r="G354" i="1" s="1"/>
  <c r="AJ357" i="1" s="1"/>
  <c r="AP359" i="1"/>
  <c r="E354" i="1" l="1" a="1"/>
  <c r="E354" i="1" s="1"/>
  <c r="I355" i="1"/>
  <c r="F355" i="1" a="1"/>
  <c r="F355" i="1" s="1"/>
  <c r="AI358" i="1" s="1"/>
  <c r="H355" i="1"/>
  <c r="G355" i="1" a="1"/>
  <c r="G355" i="1" s="1"/>
  <c r="AJ358" i="1" s="1"/>
  <c r="D356" i="1"/>
  <c r="AP360" i="1"/>
  <c r="E355" i="1" l="1" a="1"/>
  <c r="E355" i="1" s="1"/>
  <c r="I356" i="1"/>
  <c r="F356" i="1" a="1"/>
  <c r="F356" i="1" s="1"/>
  <c r="AI359" i="1" s="1"/>
  <c r="H356" i="1"/>
  <c r="G356" i="1" a="1"/>
  <c r="G356" i="1" s="1"/>
  <c r="AJ359" i="1" s="1"/>
  <c r="D357" i="1"/>
  <c r="E356" i="1" l="1" a="1"/>
  <c r="E356" i="1" s="1"/>
  <c r="I357" i="1"/>
  <c r="F357" i="1" a="1"/>
  <c r="F357" i="1" s="1"/>
  <c r="AI360" i="1" s="1"/>
  <c r="H357" i="1"/>
  <c r="G357" i="1" a="1"/>
  <c r="G357" i="1" s="1"/>
  <c r="AJ360" i="1" s="1"/>
  <c r="E357" i="1" l="1" a="1"/>
  <c r="E35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<sst xmlns="http://schemas.openxmlformats.org/spreadsheetml/2006/main" count="5721" uniqueCount="760">
  <si>
    <t>cp</t>
  </si>
  <si>
    <t>sp</t>
  </si>
  <si>
    <t>ep</t>
  </si>
  <si>
    <t>gp</t>
  </si>
  <si>
    <t>pp</t>
  </si>
  <si>
    <t>Jewelry</t>
  </si>
  <si>
    <t>Special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</si>
  <si>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</si>
  <si>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</si>
  <si>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</si>
  <si>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</si>
  <si>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</si>
  <si>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</si>
  <si>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</si>
  <si>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</si>
  <si>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</si>
  <si>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</si>
  <si>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</si>
  <si>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</si>
  <si>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L</t>
  </si>
  <si>
    <t>N</t>
  </si>
  <si>
    <t>O</t>
  </si>
  <si>
    <t>Enter Treasure Type:</t>
  </si>
  <si>
    <t>Gems</t>
  </si>
  <si>
    <t>Magic Items</t>
  </si>
  <si>
    <t>Gems:</t>
  </si>
  <si>
    <t>Agate</t>
  </si>
  <si>
    <t>Turquoise</t>
  </si>
  <si>
    <t>Quartz</t>
  </si>
  <si>
    <t>Onyx</t>
  </si>
  <si>
    <t>Jasper</t>
  </si>
  <si>
    <t>Crystal</t>
  </si>
  <si>
    <t>Amber</t>
  </si>
  <si>
    <t>Amethyst</t>
  </si>
  <si>
    <t>Coral</t>
  </si>
  <si>
    <t>Garnet</t>
  </si>
  <si>
    <t>Jade</t>
  </si>
  <si>
    <t>Aquamarine</t>
  </si>
  <si>
    <t>Pearl</t>
  </si>
  <si>
    <t>Topaz</t>
  </si>
  <si>
    <t>Carbuncle</t>
  </si>
  <si>
    <t>Opal</t>
  </si>
  <si>
    <t>Emerald</t>
  </si>
  <si>
    <t>Ruby</t>
  </si>
  <si>
    <t>Sapphire</t>
  </si>
  <si>
    <t>Diamond</t>
  </si>
  <si>
    <t>Jacinth</t>
  </si>
  <si>
    <t>Starstone</t>
  </si>
  <si>
    <t>Tristal</t>
  </si>
  <si>
    <t>???</t>
  </si>
  <si>
    <t>Value:</t>
  </si>
  <si>
    <t>Value</t>
  </si>
  <si>
    <t>Common</t>
  </si>
  <si>
    <t>Anklet</t>
  </si>
  <si>
    <t>Beads</t>
  </si>
  <si>
    <t>Bracelet</t>
  </si>
  <si>
    <t>Brooch</t>
  </si>
  <si>
    <t>Buckle</t>
  </si>
  <si>
    <t>Cameo</t>
  </si>
  <si>
    <t>Chain</t>
  </si>
  <si>
    <t>Clasp</t>
  </si>
  <si>
    <t>Locket</t>
  </si>
  <si>
    <t>Pin</t>
  </si>
  <si>
    <t>Uncommon</t>
  </si>
  <si>
    <t>Rare</t>
  </si>
  <si>
    <t>Armband</t>
  </si>
  <si>
    <t>Amulet</t>
  </si>
  <si>
    <t>Belt</t>
  </si>
  <si>
    <t>Crown</t>
  </si>
  <si>
    <t>Collar</t>
  </si>
  <si>
    <t>Diadem</t>
  </si>
  <si>
    <t>Earring</t>
  </si>
  <si>
    <t>Medallion</t>
  </si>
  <si>
    <t>Orb</t>
  </si>
  <si>
    <t>Four-Leaf Clover</t>
  </si>
  <si>
    <t>Heart</t>
  </si>
  <si>
    <t>Ring</t>
  </si>
  <si>
    <t>Leaf</t>
  </si>
  <si>
    <t>Scarab</t>
  </si>
  <si>
    <t>Necklace</t>
  </si>
  <si>
    <t>Scepter</t>
  </si>
  <si>
    <t>Pendant</t>
  </si>
  <si>
    <t>Talisman</t>
  </si>
  <si>
    <t>Rabbit's Foot</t>
  </si>
  <si>
    <t>Tiara</t>
  </si>
  <si>
    <t>Book, Rare</t>
  </si>
  <si>
    <t>Pelt</t>
  </si>
  <si>
    <t>Cape</t>
  </si>
  <si>
    <t>Coat</t>
  </si>
  <si>
    <t>Pelt, Rare</t>
  </si>
  <si>
    <t>Cape, Rare</t>
  </si>
  <si>
    <t>Coat, Rare</t>
  </si>
  <si>
    <t>Incense, Rare</t>
  </si>
  <si>
    <t>Perfume, Rare</t>
  </si>
  <si>
    <t>Rug</t>
  </si>
  <si>
    <t>Tapestry</t>
  </si>
  <si>
    <t>Silk</t>
  </si>
  <si>
    <t>Animal Skin</t>
  </si>
  <si>
    <t>Monser Skin</t>
  </si>
  <si>
    <t>Rare Spice</t>
  </si>
  <si>
    <t>Statuette</t>
  </si>
  <si>
    <t>Rare Wine</t>
  </si>
  <si>
    <t>Enc</t>
  </si>
  <si>
    <t>5d6/stick</t>
  </si>
  <si>
    <t>(1d10+5)*10 per vial</t>
  </si>
  <si>
    <t>2d10 per sq. ft.</t>
  </si>
  <si>
    <t>1d8 per sq. ft.</t>
  </si>
  <si>
    <t>4d4 per cn of enc</t>
  </si>
  <si>
    <t>1d6 per bottle</t>
  </si>
  <si>
    <t>SS Type</t>
  </si>
  <si>
    <t>Golden-yellow</t>
  </si>
  <si>
    <t>Deep-violet</t>
  </si>
  <si>
    <t>Brilliant-orange</t>
  </si>
  <si>
    <t>Tristal color</t>
  </si>
  <si>
    <t>Size</t>
  </si>
  <si>
    <t>Quality</t>
  </si>
  <si>
    <t>size</t>
  </si>
  <si>
    <t>quality</t>
  </si>
  <si>
    <t>value multiplier</t>
  </si>
  <si>
    <t>Very Small</t>
  </si>
  <si>
    <t>Very Poor</t>
  </si>
  <si>
    <t>Small</t>
  </si>
  <si>
    <t>Poor</t>
  </si>
  <si>
    <t>Fairly Small</t>
  </si>
  <si>
    <t>Fairly Poor</t>
  </si>
  <si>
    <t>Fairly Large</t>
  </si>
  <si>
    <t>Fairly Good</t>
  </si>
  <si>
    <t>Large</t>
  </si>
  <si>
    <t>Good</t>
  </si>
  <si>
    <t>Very Large</t>
  </si>
  <si>
    <t>Very Good</t>
  </si>
  <si>
    <t>SM</t>
  </si>
  <si>
    <t>QM</t>
  </si>
  <si>
    <t>Rand</t>
  </si>
  <si>
    <t>Size var</t>
  </si>
  <si>
    <t>Qual var</t>
  </si>
  <si>
    <t>Copper</t>
  </si>
  <si>
    <t>Silver</t>
  </si>
  <si>
    <t>Electrum</t>
  </si>
  <si>
    <t>Gold</t>
  </si>
  <si>
    <t>Platinum</t>
  </si>
  <si>
    <t>#o Gems</t>
  </si>
  <si>
    <t>#o Jewelry</t>
  </si>
  <si>
    <t>Any</t>
  </si>
  <si>
    <t>Potion</t>
  </si>
  <si>
    <t>Scroll</t>
  </si>
  <si>
    <t>Wand, Staff, or Rod</t>
  </si>
  <si>
    <t>Misc. Magical Item</t>
  </si>
  <si>
    <t>Armor or Shield</t>
  </si>
  <si>
    <t>Missile Weapon or Missile</t>
  </si>
  <si>
    <t>Sword</t>
  </si>
  <si>
    <t>Misc. Weapon</t>
  </si>
  <si>
    <t>Magic Item</t>
  </si>
  <si>
    <t>#o Magic Items</t>
  </si>
  <si>
    <t>Magic Item Table</t>
  </si>
  <si>
    <t># of items</t>
  </si>
  <si>
    <t>Roll</t>
  </si>
  <si>
    <t>Table arrays</t>
  </si>
  <si>
    <t>Type</t>
  </si>
  <si>
    <t>Potions</t>
  </si>
  <si>
    <t>Agility</t>
  </si>
  <si>
    <t>Animal Control</t>
  </si>
  <si>
    <t>Antidote</t>
  </si>
  <si>
    <t>Blending</t>
  </si>
  <si>
    <t>Bug Repellant</t>
  </si>
  <si>
    <t>Clairaudience</t>
  </si>
  <si>
    <t>Clairvoyance</t>
  </si>
  <si>
    <t>Climbing</t>
  </si>
  <si>
    <t>Defense</t>
  </si>
  <si>
    <t>Delusion</t>
  </si>
  <si>
    <t>Diminution</t>
  </si>
  <si>
    <t>Dragon Control</t>
  </si>
  <si>
    <t>Dreamspeech</t>
  </si>
  <si>
    <t>Elasticity</t>
  </si>
  <si>
    <t>Elemental Form</t>
  </si>
  <si>
    <t>ESP</t>
  </si>
  <si>
    <t>Ethereality</t>
  </si>
  <si>
    <t>Fire Resistance</t>
  </si>
  <si>
    <t>Flying</t>
  </si>
  <si>
    <t>Fortitude</t>
  </si>
  <si>
    <t>Gaseous Form</t>
  </si>
  <si>
    <t>Giant Control</t>
  </si>
  <si>
    <t>Giant Strength</t>
  </si>
  <si>
    <t>Growth</t>
  </si>
  <si>
    <t>Healing</t>
  </si>
  <si>
    <t>Heroism</t>
  </si>
  <si>
    <t>Human Control</t>
  </si>
  <si>
    <t>Invisibility</t>
  </si>
  <si>
    <t>Invulnerability</t>
  </si>
  <si>
    <t>Levitation</t>
  </si>
  <si>
    <t>Longevity</t>
  </si>
  <si>
    <t>Luck</t>
  </si>
  <si>
    <t>Merging</t>
  </si>
  <si>
    <t>Plant Control</t>
  </si>
  <si>
    <t>Poison</t>
  </si>
  <si>
    <t>Polymorph Self</t>
  </si>
  <si>
    <t>Sight</t>
  </si>
  <si>
    <t>Speech</t>
  </si>
  <si>
    <t>Speed</t>
  </si>
  <si>
    <t>Strength</t>
  </si>
  <si>
    <t>Super-healing</t>
  </si>
  <si>
    <t>Swimming</t>
  </si>
  <si>
    <t>Undead Control</t>
  </si>
  <si>
    <t>Treasure-finding</t>
  </si>
  <si>
    <t>Water Breathing</t>
  </si>
  <si>
    <t>Item</t>
  </si>
  <si>
    <t>Rings</t>
  </si>
  <si>
    <t>Djinni Summoning</t>
  </si>
  <si>
    <t>Ear</t>
  </si>
  <si>
    <t>Elemental Adaptation</t>
  </si>
  <si>
    <t>Holiness</t>
  </si>
  <si>
    <t>Life Protection</t>
  </si>
  <si>
    <t>Memory</t>
  </si>
  <si>
    <t>Protection +1</t>
  </si>
  <si>
    <t>Protection +2</t>
  </si>
  <si>
    <t>Protection +3</t>
  </si>
  <si>
    <t>Protection +4</t>
  </si>
  <si>
    <t>Quickness</t>
  </si>
  <si>
    <t>Regeneration</t>
  </si>
  <si>
    <t>Remedies</t>
  </si>
  <si>
    <t>Safety</t>
  </si>
  <si>
    <t>Seeing</t>
  </si>
  <si>
    <t>Spell Eating</t>
  </si>
  <si>
    <t>Spell Storing</t>
  </si>
  <si>
    <t>Spell Turning</t>
  </si>
  <si>
    <t>Survival</t>
  </si>
  <si>
    <t>Telekinesis</t>
  </si>
  <si>
    <t>Truth</t>
  </si>
  <si>
    <t>Truthfulness</t>
  </si>
  <si>
    <t>Truthlessness</t>
  </si>
  <si>
    <t>Water-walking</t>
  </si>
  <si>
    <t>Weakness</t>
  </si>
  <si>
    <t>Wishes</t>
  </si>
  <si>
    <t>X-ray Vision</t>
  </si>
  <si>
    <t>Spell Scroll Type</t>
  </si>
  <si>
    <t>Spellscroll type roll</t>
  </si>
  <si>
    <t>Communication</t>
  </si>
  <si>
    <t>Creation</t>
  </si>
  <si>
    <t>Curse</t>
  </si>
  <si>
    <t>Delay</t>
  </si>
  <si>
    <t>Equipment</t>
  </si>
  <si>
    <t>Illumination</t>
  </si>
  <si>
    <t>Mages</t>
  </si>
  <si>
    <t>Map to normal treasure</t>
  </si>
  <si>
    <t>Map to magical treasure</t>
  </si>
  <si>
    <t>Map to combined treasure</t>
  </si>
  <si>
    <t>Map to special treasure</t>
  </si>
  <si>
    <t>Mapping</t>
  </si>
  <si>
    <t>Portals</t>
  </si>
  <si>
    <t>Protection from Elementals</t>
  </si>
  <si>
    <t>Protection from Lycanthropes</t>
  </si>
  <si>
    <t>Protection from Magic</t>
  </si>
  <si>
    <t>Protection from Undead</t>
  </si>
  <si>
    <t>Questioning</t>
  </si>
  <si>
    <t>Repetition</t>
  </si>
  <si>
    <t>Shelter</t>
  </si>
  <si>
    <t>Spell Catching</t>
  </si>
  <si>
    <t>Spell Scroll</t>
  </si>
  <si>
    <t>Trapping</t>
  </si>
  <si>
    <t>Misc Magical</t>
  </si>
  <si>
    <t>Amulet of Protection from Crystal Balls and ESP</t>
  </si>
  <si>
    <t>Bag of Devouring</t>
  </si>
  <si>
    <t>Bag of Holding</t>
  </si>
  <si>
    <t>Boat, Undersea</t>
  </si>
  <si>
    <t>Boots of Levitation</t>
  </si>
  <si>
    <t>Boots of Speed</t>
  </si>
  <si>
    <t>Boots of Travelling/Leaping</t>
  </si>
  <si>
    <t>Bowl of Commanding Water Elementals</t>
  </si>
  <si>
    <t>Brazier of Commanding Fire Elementals</t>
  </si>
  <si>
    <t>Broom of Flying</t>
  </si>
  <si>
    <t>Censer of Controlling Air Elementals</t>
  </si>
  <si>
    <t>Chime of Time</t>
  </si>
  <si>
    <t>Crystal Ball (E, M)</t>
  </si>
  <si>
    <t>Crystal Ball with Clairaudience (M)</t>
  </si>
  <si>
    <t>Crystal Ball with ESP (M)</t>
  </si>
  <si>
    <t>Displacer Cloak</t>
  </si>
  <si>
    <t>Drums of Panic</t>
  </si>
  <si>
    <t>Efreeti Bottle</t>
  </si>
  <si>
    <t>Egg of Wonder</t>
  </si>
  <si>
    <t>Elven Boots</t>
  </si>
  <si>
    <t>Elven Cloak</t>
  </si>
  <si>
    <t>Flying Carpet</t>
  </si>
  <si>
    <t>Gauntlets of Ogre Power</t>
  </si>
  <si>
    <t>Girdle of Giant Strength</t>
  </si>
  <si>
    <t>Helm of Alignment Changing</t>
  </si>
  <si>
    <t>Helm of Reading</t>
  </si>
  <si>
    <t>Helm of Telepathy</t>
  </si>
  <si>
    <t>Helm of Teleportation (M)</t>
  </si>
  <si>
    <t>Horn of Blasting</t>
  </si>
  <si>
    <t>Lamp, Hurricane</t>
  </si>
  <si>
    <t>Lamp of Long Burning</t>
  </si>
  <si>
    <t>Medallion of ESP, 30'</t>
  </si>
  <si>
    <t>Medallion of ESP, 90'</t>
  </si>
  <si>
    <t>Mirror of Life Trapping</t>
  </si>
  <si>
    <t>Muzzle of Training</t>
  </si>
  <si>
    <t>Nail, Finger</t>
  </si>
  <si>
    <t>Nail of Pointing</t>
  </si>
  <si>
    <t>Ointment</t>
  </si>
  <si>
    <t>Pouch of Security</t>
  </si>
  <si>
    <t>Quill of Copying</t>
  </si>
  <si>
    <t>Rope of Climbing</t>
  </si>
  <si>
    <t>Scarab of Protection</t>
  </si>
  <si>
    <t>Slate of Identification</t>
  </si>
  <si>
    <t>Stone of Controlling Earth Elementals</t>
  </si>
  <si>
    <t>Talisman of Elemental Travel</t>
  </si>
  <si>
    <t>Wheel of Floating</t>
  </si>
  <si>
    <t>Wheel of Fortune</t>
  </si>
  <si>
    <t>Wheel, Square</t>
  </si>
  <si>
    <t>Wand of Cold (M)</t>
  </si>
  <si>
    <t>Wand of Enemy Detection (M)</t>
  </si>
  <si>
    <t>Wand of Fear (M)</t>
  </si>
  <si>
    <t>Wand of Fireballs (M)</t>
  </si>
  <si>
    <t>Wand of Illusion (M)</t>
  </si>
  <si>
    <t>Wand of Lightning Bolts (M)</t>
  </si>
  <si>
    <t>Wand of Magic Detection (M)</t>
  </si>
  <si>
    <t>Wand of Metal Detection (M)</t>
  </si>
  <si>
    <t>Wand of Negation (M)</t>
  </si>
  <si>
    <t>Wand of Paralyzation (M)</t>
  </si>
  <si>
    <t>Wand of Polymorphing (M)</t>
  </si>
  <si>
    <t>Wand of Secret Door Detection (M)</t>
  </si>
  <si>
    <t>Wand of Trap Detection (M)</t>
  </si>
  <si>
    <t>Staff of Commanding (S)</t>
  </si>
  <si>
    <t>Staff of Dispelling</t>
  </si>
  <si>
    <t>Staff of the Druids (DR)</t>
  </si>
  <si>
    <t>Staff of an Element (M)</t>
  </si>
  <si>
    <t>Staff of Healing ©</t>
  </si>
  <si>
    <t>Staff of Power (M)</t>
  </si>
  <si>
    <t>Snake Staff ©</t>
  </si>
  <si>
    <t>Staff of Striking (S)</t>
  </si>
  <si>
    <t>Staff of Withering ©</t>
  </si>
  <si>
    <t>Staff of Wizardry (M)</t>
  </si>
  <si>
    <t>Rod of Cancellation</t>
  </si>
  <si>
    <t>Rod of Dominion</t>
  </si>
  <si>
    <t>Rod of Health ©</t>
  </si>
  <si>
    <t>Rod of Inertia (N)</t>
  </si>
  <si>
    <t>Rod of Parrying</t>
  </si>
  <si>
    <t>Rod of Victory</t>
  </si>
  <si>
    <t>Rod of Weaponry</t>
  </si>
  <si>
    <t>Rod of the Wyrm</t>
  </si>
  <si>
    <t>Wand, Staff, or rod</t>
  </si>
  <si>
    <t>Magical</t>
  </si>
  <si>
    <t>Clerical</t>
  </si>
  <si>
    <t>Druidic</t>
  </si>
  <si>
    <t>No of Spells</t>
  </si>
  <si>
    <t>C or D lvl</t>
  </si>
  <si>
    <t>M level</t>
  </si>
  <si>
    <t>BQ6:BR105</t>
  </si>
  <si>
    <t># of Spells Roll</t>
  </si>
  <si>
    <t>Analyze</t>
  </si>
  <si>
    <t>Charm Person</t>
  </si>
  <si>
    <t>Detect Magic</t>
  </si>
  <si>
    <t>Floating Disc</t>
  </si>
  <si>
    <t>Hold Portal</t>
  </si>
  <si>
    <t>Light*</t>
  </si>
  <si>
    <t>Magic Missile</t>
  </si>
  <si>
    <t>Protection from Evil</t>
  </si>
  <si>
    <t>Read Languages</t>
  </si>
  <si>
    <t>Read Magic</t>
  </si>
  <si>
    <t>Shield</t>
  </si>
  <si>
    <t>Sleep</t>
  </si>
  <si>
    <t>Ventriloquism</t>
  </si>
  <si>
    <t>Continual Light*</t>
  </si>
  <si>
    <t>Detect Evil</t>
  </si>
  <si>
    <t>Detect Invisible</t>
  </si>
  <si>
    <t>Entangle</t>
  </si>
  <si>
    <t>Knock</t>
  </si>
  <si>
    <t>Levitate</t>
  </si>
  <si>
    <t>Locate Object</t>
  </si>
  <si>
    <t>Mirror Image</t>
  </si>
  <si>
    <t>Phantasmal Force</t>
  </si>
  <si>
    <t>Web</t>
  </si>
  <si>
    <t>Wizard Lock</t>
  </si>
  <si>
    <t>Create Air</t>
  </si>
  <si>
    <t>Dispel Mafgic</t>
  </si>
  <si>
    <t>Fireba;;</t>
  </si>
  <si>
    <t>Fly</t>
  </si>
  <si>
    <t>Haste</t>
  </si>
  <si>
    <t>Hold Person</t>
  </si>
  <si>
    <t>Infravision</t>
  </si>
  <si>
    <t>Invisibility 10' Radius</t>
  </si>
  <si>
    <t>Lightnin Bolt</t>
  </si>
  <si>
    <t>Protection from Evil 10 ' Radius</t>
  </si>
  <si>
    <t>Protection from Normal Missiles</t>
  </si>
  <si>
    <t>Charm Monster</t>
  </si>
  <si>
    <t>Clothform</t>
  </si>
  <si>
    <t>Confusion</t>
  </si>
  <si>
    <t>Dimension Door</t>
  </si>
  <si>
    <t>Growth of Plants</t>
  </si>
  <si>
    <t>Hallucinatory Terrain</t>
  </si>
  <si>
    <t>Ice Storm/Wall of Ice</t>
  </si>
  <si>
    <t>Massmorph</t>
  </si>
  <si>
    <t>Polymorph Other</t>
  </si>
  <si>
    <t>Remove Curse</t>
  </si>
  <si>
    <t>Wall of Fire</t>
  </si>
  <si>
    <t>Wizard Eye</t>
  </si>
  <si>
    <t>Animate Dead</t>
  </si>
  <si>
    <t>Cloudkill</t>
  </si>
  <si>
    <t>Conjure Elemental</t>
  </si>
  <si>
    <t>Contact Outer Plane</t>
  </si>
  <si>
    <t>Dissolve</t>
  </si>
  <si>
    <t>Feeblemind</t>
  </si>
  <si>
    <t>Hold Monster</t>
  </si>
  <si>
    <t>Magic Jar</t>
  </si>
  <si>
    <t>Passwall</t>
  </si>
  <si>
    <t>Teleport</t>
  </si>
  <si>
    <t>Wall of Stone</t>
  </si>
  <si>
    <t>Woodform</t>
  </si>
  <si>
    <t>Anti-Magic Shell</t>
  </si>
  <si>
    <t>Death Spell</t>
  </si>
  <si>
    <t>Disintegrate</t>
  </si>
  <si>
    <t>Geas</t>
  </si>
  <si>
    <t>Invisible Stalker</t>
  </si>
  <si>
    <t>Lower Water</t>
  </si>
  <si>
    <t>Move Earth</t>
  </si>
  <si>
    <t>Projected Image</t>
  </si>
  <si>
    <t>Reincarnation</t>
  </si>
  <si>
    <t>Stone to Flesh</t>
  </si>
  <si>
    <t>Stoneform</t>
  </si>
  <si>
    <t>Wall of Iron</t>
  </si>
  <si>
    <t>Weather Control</t>
  </si>
  <si>
    <t>Charm Plant</t>
  </si>
  <si>
    <t>Create Normal Monsters</t>
  </si>
  <si>
    <t>Delayed Blast Fireball</t>
  </si>
  <si>
    <t>Ironform</t>
  </si>
  <si>
    <t>Lore</t>
  </si>
  <si>
    <t>Magic Door</t>
  </si>
  <si>
    <t>Mass Invisibility</t>
  </si>
  <si>
    <t>Power Word Stun</t>
  </si>
  <si>
    <t>Reverse Gravity</t>
  </si>
  <si>
    <t>Statue</t>
  </si>
  <si>
    <t>Summon Object</t>
  </si>
  <si>
    <t>Teleport any Object</t>
  </si>
  <si>
    <t>Clone</t>
  </si>
  <si>
    <t>Create Magical Monsters</t>
  </si>
  <si>
    <t>Dance</t>
  </si>
  <si>
    <t>Explosive Cloud</t>
  </si>
  <si>
    <t>Force Field</t>
  </si>
  <si>
    <t>Mass Charm</t>
  </si>
  <si>
    <t>Mind Barrier</t>
  </si>
  <si>
    <t>Permancence</t>
  </si>
  <si>
    <t>Polymorph any Object</t>
  </si>
  <si>
    <t>Power Word Blind</t>
  </si>
  <si>
    <t>Steelform</t>
  </si>
  <si>
    <t>Symbol</t>
  </si>
  <si>
    <t>Travel</t>
  </si>
  <si>
    <t>Contingency</t>
  </si>
  <si>
    <t>Create Any Monster</t>
  </si>
  <si>
    <t>Gate</t>
  </si>
  <si>
    <t>Heal</t>
  </si>
  <si>
    <t>Immunity</t>
  </si>
  <si>
    <t>Maze</t>
  </si>
  <si>
    <t>Meteor Swarm</t>
  </si>
  <si>
    <t>Power Word Kill</t>
  </si>
  <si>
    <t>Prismatic Wall</t>
  </si>
  <si>
    <t>Shapechange</t>
  </si>
  <si>
    <t>Timestop</t>
  </si>
  <si>
    <t>Wish</t>
  </si>
  <si>
    <t>Cure Light Wounds</t>
  </si>
  <si>
    <t>Light</t>
  </si>
  <si>
    <t>Purify Food and Water</t>
  </si>
  <si>
    <t>Remove Fear</t>
  </si>
  <si>
    <t>Resist Cold</t>
  </si>
  <si>
    <t>Bless</t>
  </si>
  <si>
    <t>Find Traps</t>
  </si>
  <si>
    <t>Know Alignment</t>
  </si>
  <si>
    <t>Resist Fire</t>
  </si>
  <si>
    <t>Silence 15' Radius</t>
  </si>
  <si>
    <t>Snake Charm</t>
  </si>
  <si>
    <t>Speak With Animal</t>
  </si>
  <si>
    <t>Continual Light</t>
  </si>
  <si>
    <t>Cure Blindness</t>
  </si>
  <si>
    <t>Cure Disease</t>
  </si>
  <si>
    <t>Speak with the Dead</t>
  </si>
  <si>
    <t>Striking</t>
  </si>
  <si>
    <t>Growth of Animal</t>
  </si>
  <si>
    <t>Create Water</t>
  </si>
  <si>
    <t>Cure Serious Wounds</t>
  </si>
  <si>
    <t>Dispel Magic</t>
  </si>
  <si>
    <t>Neutralize Poison</t>
  </si>
  <si>
    <t>Protection from Evil 10' Radius</t>
  </si>
  <si>
    <t>Speak with Plants</t>
  </si>
  <si>
    <t>Sticks to Snakes</t>
  </si>
  <si>
    <t>Commune</t>
  </si>
  <si>
    <t>Create Food</t>
  </si>
  <si>
    <t>Cure Critical Wounds</t>
  </si>
  <si>
    <t>Dispel Evil</t>
  </si>
  <si>
    <t>Insect Plague</t>
  </si>
  <si>
    <t>Quest</t>
  </si>
  <si>
    <t>Raise Dead</t>
  </si>
  <si>
    <t>Truesight</t>
  </si>
  <si>
    <t>Aerial Servant</t>
  </si>
  <si>
    <t>Animate Objects</t>
  </si>
  <si>
    <t>Barrier</t>
  </si>
  <si>
    <t>Create Normal Animals</t>
  </si>
  <si>
    <t>Cureall</t>
  </si>
  <si>
    <t>Find the Path</t>
  </si>
  <si>
    <t>Speak with Monsters</t>
  </si>
  <si>
    <t>Word of Recall</t>
  </si>
  <si>
    <t>Earthquake</t>
  </si>
  <si>
    <t>Holy Word</t>
  </si>
  <si>
    <t>Raise Dead Fully</t>
  </si>
  <si>
    <t>Restore</t>
  </si>
  <si>
    <t>Wizardry</t>
  </si>
  <si>
    <t>Detect Danger</t>
  </si>
  <si>
    <t>Faerie Fire</t>
  </si>
  <si>
    <t>Locate</t>
  </si>
  <si>
    <t>Predict Weather</t>
  </si>
  <si>
    <t>Heat Metal</t>
  </si>
  <si>
    <t>Obscure</t>
  </si>
  <si>
    <t>Produce Fire</t>
  </si>
  <si>
    <t>Warp Wood</t>
  </si>
  <si>
    <t>Call Lightnin</t>
  </si>
  <si>
    <t>Hold Animal</t>
  </si>
  <si>
    <t>Protection from Poison</t>
  </si>
  <si>
    <t>Control Temperature 10' Radius</t>
  </si>
  <si>
    <t>Plant Door</t>
  </si>
  <si>
    <t>Protection from Lightning</t>
  </si>
  <si>
    <t>Summon Animals</t>
  </si>
  <si>
    <t>Anti-Plant Shell</t>
  </si>
  <si>
    <t>Control Winds</t>
  </si>
  <si>
    <t>Pass Plant</t>
  </si>
  <si>
    <t>Anti-Animal Shell</t>
  </si>
  <si>
    <t>Summon Weather</t>
  </si>
  <si>
    <t>Transport Through Plants</t>
  </si>
  <si>
    <t>Turn Wood</t>
  </si>
  <si>
    <t>Creeping Doom</t>
  </si>
  <si>
    <t>Metal to Wood</t>
  </si>
  <si>
    <t>Summon Elemental</t>
  </si>
  <si>
    <t>Type of Scroll</t>
  </si>
  <si>
    <t># of Spells</t>
  </si>
  <si>
    <t>Spell</t>
  </si>
  <si>
    <t>Race</t>
  </si>
  <si>
    <t>Modifier</t>
  </si>
  <si>
    <t>Special Power</t>
  </si>
  <si>
    <t>Roll 1</t>
  </si>
  <si>
    <t>Roll 2</t>
  </si>
  <si>
    <t>Roll 3</t>
  </si>
  <si>
    <t>Roll 4</t>
  </si>
  <si>
    <t>Human</t>
  </si>
  <si>
    <t>Dwarf</t>
  </si>
  <si>
    <t>Elf</t>
  </si>
  <si>
    <t>Halfling</t>
  </si>
  <si>
    <t>Giant</t>
  </si>
  <si>
    <t>GIant</t>
  </si>
  <si>
    <t>Leather</t>
  </si>
  <si>
    <t>Scale</t>
  </si>
  <si>
    <t>Banded</t>
  </si>
  <si>
    <t>Plate</t>
  </si>
  <si>
    <t>Suit</t>
  </si>
  <si>
    <t>Scale &amp; Shield</t>
  </si>
  <si>
    <t>Chain &amp; Shield</t>
  </si>
  <si>
    <t>Banded &amp; Shield</t>
  </si>
  <si>
    <t>Plate &amp; Shield</t>
  </si>
  <si>
    <t>B,S,L</t>
  </si>
  <si>
    <t>P, S</t>
  </si>
  <si>
    <t>+1</t>
  </si>
  <si>
    <t>+2</t>
  </si>
  <si>
    <t>+3</t>
  </si>
  <si>
    <t>+4</t>
  </si>
  <si>
    <t>+5</t>
  </si>
  <si>
    <t>Spec Power?</t>
  </si>
  <si>
    <t>Spec Power.</t>
  </si>
  <si>
    <t>Absorption</t>
  </si>
  <si>
    <t>Charm</t>
  </si>
  <si>
    <t>Cure Wounds</t>
  </si>
  <si>
    <t>Electricity</t>
  </si>
  <si>
    <t>Energy Drain</t>
  </si>
  <si>
    <t>Reflection</t>
  </si>
  <si>
    <t>&amp; Shield Mod</t>
  </si>
  <si>
    <t>&amp; Shield Power</t>
  </si>
  <si>
    <t>&amp; Shield Power?</t>
  </si>
  <si>
    <t>&amp; Shield Power.</t>
  </si>
  <si>
    <t>level</t>
  </si>
  <si>
    <t>Any But Weps</t>
  </si>
  <si>
    <t>Sword, Misc, or Arm</t>
  </si>
  <si>
    <t>[Lairs only]</t>
  </si>
  <si>
    <t>BY6:BZ105</t>
  </si>
  <si>
    <t>BW6:BX105</t>
  </si>
  <si>
    <t>Scrolls</t>
  </si>
  <si>
    <t>CA6:CB105</t>
  </si>
  <si>
    <t>CC6:CD105</t>
  </si>
  <si>
    <t>type</t>
  </si>
  <si>
    <t>#</t>
  </si>
  <si>
    <t>lvl</t>
  </si>
  <si>
    <t>Bottom</t>
  </si>
  <si>
    <t>Top</t>
  </si>
  <si>
    <t>Level</t>
  </si>
  <si>
    <t>Fireball</t>
  </si>
  <si>
    <t>Mod</t>
  </si>
  <si>
    <t>Range Mult.</t>
  </si>
  <si>
    <t>Addt'l Mod</t>
  </si>
  <si>
    <t>Weapon</t>
  </si>
  <si>
    <t>Missile</t>
  </si>
  <si>
    <t>Talent</t>
  </si>
  <si>
    <t>No. Found</t>
  </si>
  <si>
    <t>item</t>
  </si>
  <si>
    <t>RM</t>
  </si>
  <si>
    <t>NF</t>
  </si>
  <si>
    <t>Add Mod/Talent</t>
  </si>
  <si>
    <t>Arrows</t>
  </si>
  <si>
    <t>Quarrels</t>
  </si>
  <si>
    <t>Sling Stones</t>
  </si>
  <si>
    <t>Blowgun</t>
  </si>
  <si>
    <t>Longbow</t>
  </si>
  <si>
    <t>Shortbow</t>
  </si>
  <si>
    <t>Heavy Crossbow</t>
  </si>
  <si>
    <t>Light Crossbow</t>
  </si>
  <si>
    <t>Sling</t>
  </si>
  <si>
    <t>Wep Mods</t>
  </si>
  <si>
    <t>Missile Mods</t>
  </si>
  <si>
    <t>Mod as #</t>
  </si>
  <si>
    <t>1x</t>
  </si>
  <si>
    <t>1.5x</t>
  </si>
  <si>
    <t>2x</t>
  </si>
  <si>
    <t>Talents</t>
  </si>
  <si>
    <t>Biting</t>
  </si>
  <si>
    <t>Blinking</t>
  </si>
  <si>
    <t>Charming</t>
  </si>
  <si>
    <t>Curing</t>
  </si>
  <si>
    <t>Disarming</t>
  </si>
  <si>
    <t>Dispelling</t>
  </si>
  <si>
    <t>Lighting</t>
  </si>
  <si>
    <t>Penetrating</t>
  </si>
  <si>
    <t>Refilling</t>
  </si>
  <si>
    <t>Screaming</t>
  </si>
  <si>
    <t>Seeking</t>
  </si>
  <si>
    <t>Sinking</t>
  </si>
  <si>
    <t>Slaying</t>
  </si>
  <si>
    <t>Speaking</t>
  </si>
  <si>
    <t>Stunning</t>
  </si>
  <si>
    <t>Teleporting</t>
  </si>
  <si>
    <t>Transporting</t>
  </si>
  <si>
    <t>Wounding</t>
  </si>
  <si>
    <t>addtl</t>
  </si>
  <si>
    <t>Opponent</t>
  </si>
  <si>
    <t>Bugs</t>
  </si>
  <si>
    <t>Constructs</t>
  </si>
  <si>
    <t>Dragonkind</t>
  </si>
  <si>
    <t>Enchanted Monsters</t>
  </si>
  <si>
    <t>Giantkind</t>
  </si>
  <si>
    <t>Lycanthropes</t>
  </si>
  <si>
    <t>Planar Monsters</t>
  </si>
  <si>
    <t>Regenerating Monsters</t>
  </si>
  <si>
    <t>Reptiles &amp; Dinosaurs</t>
  </si>
  <si>
    <t>Spell-immune Monsters</t>
  </si>
  <si>
    <t>Spellcasters</t>
  </si>
  <si>
    <t>Undead</t>
  </si>
  <si>
    <t>Water-breathing Monsters</t>
  </si>
  <si>
    <t>Weapon Using Monsters</t>
  </si>
  <si>
    <t>normal talents</t>
  </si>
  <si>
    <t>Breathing</t>
  </si>
  <si>
    <t>Decieving</t>
  </si>
  <si>
    <t>Defending</t>
  </si>
  <si>
    <t>Deflecting</t>
  </si>
  <si>
    <t>Draining</t>
  </si>
  <si>
    <t>Extinguishing</t>
  </si>
  <si>
    <t>Finding</t>
  </si>
  <si>
    <t>Flaming</t>
  </si>
  <si>
    <t>Hiding</t>
  </si>
  <si>
    <t>Holding</t>
  </si>
  <si>
    <t>Silencing</t>
  </si>
  <si>
    <t>Slicing</t>
  </si>
  <si>
    <t>Slowing</t>
  </si>
  <si>
    <t>Speeding</t>
  </si>
  <si>
    <t>Translating</t>
  </si>
  <si>
    <t>Watching</t>
  </si>
  <si>
    <t>Wishing</t>
  </si>
  <si>
    <t>Opponent/Talent</t>
  </si>
  <si>
    <t>Int</t>
  </si>
  <si>
    <t>Languages</t>
  </si>
  <si>
    <t>Type roll</t>
  </si>
  <si>
    <t>Mod roll</t>
  </si>
  <si>
    <t>% of addtl</t>
  </si>
  <si>
    <t>INT?</t>
  </si>
  <si>
    <t>P1</t>
  </si>
  <si>
    <t>P2</t>
  </si>
  <si>
    <t>P3</t>
  </si>
  <si>
    <t>addtl mod</t>
  </si>
  <si>
    <t>Normal</t>
  </si>
  <si>
    <t>Short</t>
  </si>
  <si>
    <t>Two-handed</t>
  </si>
  <si>
    <t>Bastard</t>
  </si>
  <si>
    <t>Two-Handed</t>
  </si>
  <si>
    <t>Nil</t>
  </si>
  <si>
    <t>7</t>
  </si>
  <si>
    <t>8</t>
  </si>
  <si>
    <t>9</t>
  </si>
  <si>
    <t>10</t>
  </si>
  <si>
    <t>11</t>
  </si>
  <si>
    <t>12</t>
  </si>
  <si>
    <t>1</t>
  </si>
  <si>
    <t>Empathy</t>
  </si>
  <si>
    <t>0</t>
  </si>
  <si>
    <t>2</t>
  </si>
  <si>
    <t>3</t>
  </si>
  <si>
    <t>No</t>
  </si>
  <si>
    <t>Detect Evil (Good)</t>
  </si>
  <si>
    <t>Detect Gems</t>
  </si>
  <si>
    <t>Detect Metal</t>
  </si>
  <si>
    <t>Detect Shifting Walls and Rooms</t>
  </si>
  <si>
    <t>Detect Sloping Passages</t>
  </si>
  <si>
    <t>Find Secret Doors</t>
  </si>
  <si>
    <t>See Invisible</t>
  </si>
  <si>
    <t>P4</t>
  </si>
  <si>
    <t>P5</t>
  </si>
  <si>
    <t>E2</t>
  </si>
  <si>
    <t>E3</t>
  </si>
  <si>
    <t>sword int</t>
  </si>
  <si>
    <t>P6</t>
  </si>
  <si>
    <t>E1</t>
  </si>
  <si>
    <t>E4</t>
  </si>
  <si>
    <t>E5</t>
  </si>
  <si>
    <t>E6</t>
  </si>
  <si>
    <t>Extra Damage</t>
  </si>
  <si>
    <t>Illusion</t>
  </si>
  <si>
    <t>Telepathy</t>
  </si>
  <si>
    <t>Teleportation</t>
  </si>
  <si>
    <t>X-Ray Vision</t>
  </si>
  <si>
    <t>Reptiles and Dinosaurs</t>
  </si>
  <si>
    <t>Spell-Immune Monsters</t>
  </si>
  <si>
    <t>Weapon using Monsters</t>
  </si>
  <si>
    <t>Deceiving</t>
  </si>
  <si>
    <t>Axe, Battle</t>
  </si>
  <si>
    <t>Axe, Hand</t>
  </si>
  <si>
    <t>Axe, Hand (Returning)</t>
  </si>
  <si>
    <t>Blackjack</t>
  </si>
  <si>
    <t>Bola</t>
  </si>
  <si>
    <t>Bola (returning)</t>
  </si>
  <si>
    <t>Club</t>
  </si>
  <si>
    <t>Dagger</t>
  </si>
  <si>
    <t>Dagger (returning)</t>
  </si>
  <si>
    <t>Hammer, War</t>
  </si>
  <si>
    <t>Hammer, War (returning)</t>
  </si>
  <si>
    <t>Javelin</t>
  </si>
  <si>
    <t>Javelin (returning)</t>
  </si>
  <si>
    <t>Lance</t>
  </si>
  <si>
    <t>Mace</t>
  </si>
  <si>
    <t>Net</t>
  </si>
  <si>
    <t>Net (returning)</t>
  </si>
  <si>
    <t>Polearm</t>
  </si>
  <si>
    <t>Spear</t>
  </si>
  <si>
    <t>Spear (returning)</t>
  </si>
  <si>
    <t>Whip</t>
  </si>
  <si>
    <t>Bonus</t>
  </si>
  <si>
    <t>Addtl. Mod</t>
  </si>
  <si>
    <t>Bonus roll</t>
  </si>
  <si>
    <t>chance of add mod roll</t>
  </si>
  <si>
    <t>Addtl mod roll</t>
  </si>
  <si>
    <t>Opp/tal roll</t>
  </si>
  <si>
    <t>V3:W102</t>
  </si>
  <si>
    <t>Y3:Z102</t>
  </si>
  <si>
    <t>AB3:AC119</t>
  </si>
  <si>
    <t>AF3:AG58</t>
  </si>
  <si>
    <t>AI3:AJ30</t>
  </si>
  <si>
    <t>Swords</t>
  </si>
  <si>
    <t>SpScr</t>
  </si>
  <si>
    <t>Armor</t>
  </si>
  <si>
    <t>Misc.</t>
  </si>
  <si>
    <t>Miss</t>
  </si>
  <si>
    <t>Auto Selector (Swords, Spell Scrolls, Armor, Misc Weapons, Missile)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</si>
</sst>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49" fontId="0" fillId="0" borderId="0" xfId="0" applyNumberFormat="1"/>
    <xf numFmtId="0" fontId="0" fillId="7" borderId="0" xfId="0" applyFill="1"/>
    <xf numFmtId="0" fontId="0" fillId="4" borderId="0" xfId="0" applyFill="1" applyAlignment="1">
      <alignment horizontal="right"/>
    </xf>
    <xf numFmtId="164" fontId="0" fillId="4" borderId="0" xfId="1" applyNumberFormat="1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9" borderId="0" xfId="0" applyFont="1" applyFill="1"/>
    <xf numFmtId="0" fontId="0" fillId="10" borderId="2" xfId="0" applyFill="1" applyBorder="1"/>
    <xf numFmtId="0" fontId="0" fillId="11" borderId="2" xfId="0" applyFill="1" applyBorder="1"/>
    <xf numFmtId="0" fontId="0" fillId="11" borderId="0" xfId="0" applyFill="1"/>
    <xf numFmtId="49" fontId="0" fillId="11" borderId="0" xfId="0" applyNumberFormat="1" applyFill="1"/>
    <xf numFmtId="0" fontId="0" fillId="11" borderId="0" xfId="0" applyNumberFormat="1" applyFill="1"/>
    <xf numFmtId="49" fontId="0" fillId="11" borderId="0" xfId="0" applyNumberFormat="1" applyFill="1" applyAlignment="1">
      <alignment horizontal="right"/>
    </xf>
    <xf numFmtId="0" fontId="3" fillId="9" borderId="3" xfId="0" applyFont="1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0" fillId="12" borderId="0" xfId="0" applyFill="1"/>
    <xf numFmtId="0" fontId="0" fillId="13" borderId="0" xfId="0" applyFill="1"/>
    <xf numFmtId="0" fontId="0" fillId="13" borderId="0" xfId="0" applyFill="1" applyAlignment="1">
      <alignment horizontal="left"/>
    </xf>
    <xf numFmtId="0" fontId="0" fillId="14" borderId="1" xfId="0" applyFill="1" applyBorder="1"/>
    <xf numFmtId="0" fontId="0" fillId="15" borderId="0" xfId="0" applyFill="1"/>
    <xf numFmtId="0" fontId="0" fillId="16" borderId="0" xfId="0" applyFill="1"/>
    <xf numFmtId="0" fontId="0" fillId="10" borderId="0" xfId="0" applyFill="1"/>
    <xf numFmtId="49" fontId="0" fillId="10" borderId="0" xfId="0" applyNumberFormat="1" applyFill="1"/>
    <xf numFmtId="0" fontId="0" fillId="10" borderId="0" xfId="0" applyNumberFormat="1" applyFill="1"/>
    <xf numFmtId="49" fontId="0" fillId="10" borderId="0" xfId="0" applyNumberFormat="1" applyFill="1" applyAlignment="1">
      <alignment horizontal="right"/>
    </xf>
    <xf numFmtId="0" fontId="3" fillId="6" borderId="3" xfId="0" applyFon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3" fillId="6" borderId="5" xfId="0" applyFont="1" applyFill="1" applyBorder="1"/>
    <xf numFmtId="0" fontId="3" fillId="8" borderId="3" xfId="0" applyFont="1" applyFill="1" applyBorder="1"/>
    <xf numFmtId="0" fontId="3" fillId="8" borderId="4" xfId="0" applyFont="1" applyFill="1" applyBorder="1"/>
    <xf numFmtId="0" fontId="3" fillId="2" borderId="4" xfId="0" applyFont="1" applyFill="1" applyBorder="1"/>
    <xf numFmtId="0" fontId="3" fillId="8" borderId="5" xfId="0" applyFont="1" applyFill="1" applyBorder="1"/>
    <xf numFmtId="0" fontId="4" fillId="16" borderId="0" xfId="0" applyFont="1" applyFill="1"/>
    <xf numFmtId="0" fontId="0" fillId="14" borderId="6" xfId="0" applyFill="1" applyBorder="1"/>
    <xf numFmtId="0" fontId="0" fillId="2" borderId="0" xfId="0" applyFill="1" applyBorder="1"/>
    <xf numFmtId="0" fontId="0" fillId="14" borderId="0" xfId="0" applyFill="1" applyBorder="1"/>
    <xf numFmtId="0" fontId="0" fillId="17" borderId="0" xfId="0" applyFill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D0BE-7E37-4B88-9BF7-40BB4950D4C9}">
  <dimension ref="B2:DR360"/>
  <sheetViews>
    <sheetView tabSelected="1" workbookViewId="0">
      <selection activeCell="C4" sqref="C4"/>
    </sheetView>
  </sheetViews>
  <sheetFormatPr defaultRowHeight="14.4" x14ac:dyDescent="0.3"/>
  <cols>
    <col min="1" max="1" width="2.109375" customWidth="1"/>
    <col min="2" max="2" width="18" bestFit="1" customWidth="1"/>
    <col min="4" max="4" width="13.33203125" customWidth="1"/>
    <col min="5" max="5" width="9.109375" bestFit="1" customWidth="1"/>
    <col min="6" max="6" width="9" bestFit="1" customWidth="1"/>
    <col min="7" max="7" width="10.33203125" customWidth="1"/>
    <col min="8" max="8" width="18.88671875" customWidth="1"/>
    <col min="9" max="9" width="13.33203125" customWidth="1"/>
    <col min="10" max="10" width="9.6640625" bestFit="1" customWidth="1"/>
    <col min="11" max="11" width="29" customWidth="1"/>
    <col min="14" max="14" width="38.88671875" customWidth="1"/>
    <col min="15" max="15" width="22.77734375" customWidth="1"/>
    <col min="16" max="16" width="228.5546875" customWidth="1"/>
    <col min="17" max="27" width="25.6640625" customWidth="1"/>
    <col min="36" max="36" width="18" bestFit="1" customWidth="1"/>
    <col min="37" max="37" width="12.77734375" customWidth="1"/>
    <col min="39" max="39" width="14.21875" customWidth="1"/>
    <col min="40" max="40" width="10.6640625" customWidth="1"/>
    <col min="43" max="43" width="10.77734375" bestFit="1" customWidth="1"/>
    <col min="44" max="44" width="15" bestFit="1" customWidth="1"/>
    <col min="45" max="45" width="13.6640625" customWidth="1"/>
    <col min="46" max="46" width="21.44140625" customWidth="1"/>
    <col min="51" max="51" width="10.77734375" bestFit="1" customWidth="1"/>
    <col min="54" max="54" width="10.88671875" bestFit="1" customWidth="1"/>
    <col min="58" max="58" width="14.33203125" customWidth="1"/>
    <col min="59" max="59" width="17.6640625" bestFit="1" customWidth="1"/>
    <col min="64" max="64" width="15" customWidth="1"/>
    <col min="65" max="65" width="10.6640625" customWidth="1"/>
    <col min="70" max="70" width="22.44140625" bestFit="1" customWidth="1"/>
    <col min="72" max="72" width="15.33203125" customWidth="1"/>
    <col min="73" max="74" width="18.88671875" customWidth="1"/>
    <col min="75" max="75" width="12.88671875" customWidth="1"/>
    <col min="76" max="76" width="17" bestFit="1" customWidth="1"/>
    <col min="77" max="77" width="17.21875" customWidth="1"/>
    <col min="78" max="78" width="15.44140625" customWidth="1"/>
    <col min="85" max="85" width="23.33203125" customWidth="1"/>
    <col min="88" max="88" width="21.33203125" customWidth="1"/>
    <col min="91" max="91" width="28.44140625" customWidth="1"/>
    <col min="93" max="93" width="11.5546875" bestFit="1" customWidth="1"/>
    <col min="94" max="94" width="40.21875" bestFit="1" customWidth="1"/>
    <col min="96" max="96" width="16.109375" bestFit="1" customWidth="1"/>
    <col min="97" max="97" width="32.21875" customWidth="1"/>
    <col min="99" max="99" width="16.109375" customWidth="1"/>
    <col min="102" max="102" width="12.6640625" customWidth="1"/>
    <col min="112" max="112" width="30.21875" customWidth="1"/>
    <col min="116" max="116" width="26.33203125" bestFit="1" customWidth="1"/>
    <col min="119" max="119" width="27.21875" bestFit="1" customWidth="1"/>
    <col min="122" max="122" width="29.44140625" customWidth="1"/>
  </cols>
  <sheetData>
    <row r="2" spans="2:122" x14ac:dyDescent="0.3"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153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122" x14ac:dyDescent="0.3">
      <c r="B3" t="s">
        <v>22</v>
      </c>
      <c r="C3" s="2" t="s">
        <v>14</v>
      </c>
      <c r="D3" s="12">
        <f ca="1">IF(AL5&lt;=VLOOKUP($C$3,$AX$21:$BC$36,2),VLOOKUP($C$3,$AX$3:$BC$18,2)*1000, 0)</f>
        <v>0</v>
      </c>
      <c r="E3" s="12">
        <f ca="1">IF(AM5&lt;=VLOOKUP($C$3,$AX$21:$BC$36,3),VLOOKUP($C$3,$AX$3:$BC$18,3)*1000, 0)</f>
        <v>17000</v>
      </c>
      <c r="F3" s="12">
        <f ca="1">IF(AN5&lt;=VLOOKUP($C$3,$AX$21:$BC$36,4),VLOOKUP($C$3,$AX$3:$BC$18,4)*1000, 0)</f>
        <v>30000</v>
      </c>
      <c r="G3" s="12">
        <f ca="1">IF(AO5&lt;=VLOOKUP($C$3,$AX$21:$BC$36,5),VLOOKUP($C$3,$AX$3:$BC$18,5)*1000, 0)</f>
        <v>30000</v>
      </c>
      <c r="H3" s="12">
        <f ca="1">IF(AP5&lt;=VLOOKUP($C$3,$AX$21:$BC$36,6),VLOOKUP($C$3,$AX$3:$BC$18,6)*1000, 0)</f>
        <v>0</v>
      </c>
      <c r="I3" s="11">
        <f ca="1">IF(AQ5 &lt;= VLOOKUP(C3,$AX$39:$BB$53,2), VLOOKUP(C3,$AX$57:$AZ$71,2), "0")</f>
        <v>67</v>
      </c>
      <c r="J3" s="3">
        <f ca="1">IF(AQ6 &lt;= VLOOKUP(C3,$AX$39:$BB$53,3), VLOOKUP(C3,$AX$57:$AZ$71,3), "0")</f>
        <v>10</v>
      </c>
      <c r="K3" s="3">
        <f ca="1">IF(AS5&lt;=VLOOKUP($C$3,$AX$38:$BB$53,5),VLOOKUP(C3,$DQ$4:$DR$18,2), 0 )</f>
        <v>6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Y3" t="s">
        <v>0</v>
      </c>
      <c r="AZ3" t="s">
        <v>1</v>
      </c>
      <c r="BA3" t="s">
        <v>2</v>
      </c>
      <c r="BB3" t="s">
        <v>3</v>
      </c>
      <c r="BC3" t="s">
        <v>4</v>
      </c>
    </row>
    <row r="4" spans="2:122" x14ac:dyDescent="0.3">
      <c r="B4" t="s">
        <v>575</v>
      </c>
      <c r="AK4" s="4"/>
      <c r="AL4" t="s">
        <v>136</v>
      </c>
      <c r="AM4" t="s">
        <v>137</v>
      </c>
      <c r="AN4" t="s">
        <v>138</v>
      </c>
      <c r="AO4" t="s">
        <v>139</v>
      </c>
      <c r="AP4" t="s">
        <v>140</v>
      </c>
      <c r="AQ4" t="s">
        <v>141</v>
      </c>
      <c r="AR4" t="s">
        <v>142</v>
      </c>
      <c r="AS4" t="s">
        <v>153</v>
      </c>
      <c r="AT4" s="4"/>
      <c r="AU4" s="4"/>
      <c r="AX4" t="s">
        <v>7</v>
      </c>
      <c r="AY4">
        <f ca="1">RANDBETWEEN(1,6)</f>
        <v>1</v>
      </c>
      <c r="AZ4">
        <f t="shared" ref="AZ4:BC14" ca="1" si="0">RANDBETWEEN(1,6)</f>
        <v>6</v>
      </c>
      <c r="BA4">
        <f ca="1">RANDBETWEEN(1,4)</f>
        <v>1</v>
      </c>
      <c r="BB4">
        <f ca="1">RANDBETWEEN(1,6)+RANDBETWEEN(1,6)</f>
        <v>9</v>
      </c>
      <c r="BC4">
        <f ca="1">RANDBETWEEN(1,2)</f>
        <v>1</v>
      </c>
      <c r="BK4">
        <f ca="1">RANDBETWEEN(1,6)</f>
        <v>2</v>
      </c>
      <c r="BQ4" t="s">
        <v>143</v>
      </c>
      <c r="BT4" t="s">
        <v>154</v>
      </c>
      <c r="BW4" t="s">
        <v>573</v>
      </c>
      <c r="BY4" t="s">
        <v>574</v>
      </c>
      <c r="CA4" t="s">
        <v>159</v>
      </c>
      <c r="CC4" t="s">
        <v>578</v>
      </c>
      <c r="CF4" t="s">
        <v>159</v>
      </c>
      <c r="CI4" t="s">
        <v>206</v>
      </c>
      <c r="CL4" t="s">
        <v>145</v>
      </c>
      <c r="CO4" t="s">
        <v>259</v>
      </c>
      <c r="CR4" t="s">
        <v>339</v>
      </c>
      <c r="CU4" t="s">
        <v>234</v>
      </c>
      <c r="CX4" t="s">
        <v>343</v>
      </c>
      <c r="DA4" t="s">
        <v>344</v>
      </c>
      <c r="DD4" t="s">
        <v>345</v>
      </c>
      <c r="DG4" t="s">
        <v>18</v>
      </c>
      <c r="DK4" t="s">
        <v>9</v>
      </c>
      <c r="DN4" t="s">
        <v>10</v>
      </c>
      <c r="DQ4" t="s">
        <v>7</v>
      </c>
      <c r="DR4">
        <v>3</v>
      </c>
    </row>
    <row r="5" spans="2:122" x14ac:dyDescent="0.3">
      <c r="Z5" t="s">
        <v>347</v>
      </c>
      <c r="AA5" t="s">
        <v>235</v>
      </c>
      <c r="AB5" t="s">
        <v>205</v>
      </c>
      <c r="AC5" t="s">
        <v>158</v>
      </c>
      <c r="AD5" t="s">
        <v>155</v>
      </c>
      <c r="AK5" s="4"/>
      <c r="AL5" s="4">
        <f ca="1">RANDBETWEEN(1,100)</f>
        <v>47</v>
      </c>
      <c r="AM5" s="4">
        <f t="shared" ref="AM5:AS5" ca="1" si="1">RANDBETWEEN(1,100)</f>
        <v>37</v>
      </c>
      <c r="AN5" s="4">
        <f t="shared" ca="1" si="1"/>
        <v>11</v>
      </c>
      <c r="AO5" s="4">
        <f t="shared" ca="1" si="1"/>
        <v>7</v>
      </c>
      <c r="AP5" s="4">
        <f t="shared" ca="1" si="1"/>
        <v>80</v>
      </c>
      <c r="AQ5" s="4">
        <f t="shared" ca="1" si="1"/>
        <v>23</v>
      </c>
      <c r="AR5" s="4">
        <f t="shared" ca="1" si="1"/>
        <v>61</v>
      </c>
      <c r="AS5" s="4">
        <f t="shared" ca="1" si="1"/>
        <v>3</v>
      </c>
      <c r="AT5" s="4"/>
      <c r="AU5" s="4"/>
      <c r="AX5" t="s">
        <v>8</v>
      </c>
      <c r="AY5">
        <f ca="1">RANDBETWEEN(1,8)</f>
        <v>2</v>
      </c>
      <c r="AZ5">
        <f t="shared" ca="1" si="0"/>
        <v>2</v>
      </c>
      <c r="BA5">
        <f ca="1">RANDBETWEEN(1,4)</f>
        <v>1</v>
      </c>
      <c r="BB5">
        <f ca="1">RANDBETWEEN(1,3)</f>
        <v>2</v>
      </c>
      <c r="BC5">
        <v>0</v>
      </c>
      <c r="BF5" t="s">
        <v>52</v>
      </c>
      <c r="BG5" t="s">
        <v>63</v>
      </c>
      <c r="BH5" t="s">
        <v>64</v>
      </c>
      <c r="BT5" t="s">
        <v>7</v>
      </c>
      <c r="BU5" t="s">
        <v>143</v>
      </c>
      <c r="CF5">
        <v>1</v>
      </c>
      <c r="CG5" t="s">
        <v>160</v>
      </c>
      <c r="CI5">
        <v>1</v>
      </c>
      <c r="CJ5" t="s">
        <v>161</v>
      </c>
      <c r="CL5">
        <v>1</v>
      </c>
      <c r="CM5" t="s">
        <v>236</v>
      </c>
      <c r="CO5">
        <v>1</v>
      </c>
      <c r="CP5" t="s">
        <v>260</v>
      </c>
      <c r="CR5">
        <v>1</v>
      </c>
      <c r="CS5" t="s">
        <v>308</v>
      </c>
      <c r="CU5">
        <v>1</v>
      </c>
      <c r="CV5" t="s">
        <v>340</v>
      </c>
      <c r="CX5">
        <v>1</v>
      </c>
      <c r="CY5">
        <v>1</v>
      </c>
      <c r="DA5">
        <v>1</v>
      </c>
      <c r="DB5">
        <v>1</v>
      </c>
      <c r="DD5">
        <v>1</v>
      </c>
      <c r="DE5">
        <v>1</v>
      </c>
      <c r="DG5">
        <v>1</v>
      </c>
      <c r="DH5" t="s">
        <v>348</v>
      </c>
      <c r="DK5">
        <v>1</v>
      </c>
      <c r="DL5" t="s">
        <v>457</v>
      </c>
      <c r="DN5">
        <v>1</v>
      </c>
      <c r="DO5" t="s">
        <v>503</v>
      </c>
      <c r="DQ5" t="s">
        <v>8</v>
      </c>
      <c r="DR5">
        <v>1</v>
      </c>
    </row>
    <row r="6" spans="2:122" x14ac:dyDescent="0.3">
      <c r="C6" s="5"/>
      <c r="D6" s="6" t="s">
        <v>25</v>
      </c>
      <c r="E6" s="6" t="s">
        <v>50</v>
      </c>
      <c r="F6" s="6" t="s">
        <v>114</v>
      </c>
      <c r="G6" s="6" t="s">
        <v>115</v>
      </c>
      <c r="H6" s="6" t="s">
        <v>113</v>
      </c>
      <c r="I6" s="6" t="s">
        <v>109</v>
      </c>
      <c r="J6" s="5"/>
      <c r="K6" s="6" t="s">
        <v>5</v>
      </c>
      <c r="L6" s="6" t="s">
        <v>51</v>
      </c>
      <c r="M6" s="5"/>
      <c r="N6" s="8" t="s">
        <v>152</v>
      </c>
      <c r="O6" s="8" t="s">
        <v>158</v>
      </c>
      <c r="P6" s="8" t="s">
        <v>759</v>
      </c>
      <c r="Q6" s="47">
        <v>20</v>
      </c>
      <c r="R6" s="47">
        <v>100</v>
      </c>
      <c r="S6" s="7"/>
      <c r="T6" s="7"/>
      <c r="U6" s="7"/>
      <c r="V6" s="7"/>
      <c r="W6" s="7"/>
      <c r="X6" s="7"/>
      <c r="Y6" s="7"/>
      <c r="Z6" s="7"/>
      <c r="AA6" s="7"/>
      <c r="AB6" t="s">
        <v>156</v>
      </c>
      <c r="AC6" t="s">
        <v>156</v>
      </c>
      <c r="AD6">
        <f ca="1">K3</f>
        <v>6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X6" t="s">
        <v>9</v>
      </c>
      <c r="AY6">
        <f ca="1">RANDBETWEEN(1,12)</f>
        <v>11</v>
      </c>
      <c r="AZ6">
        <f ca="1">RANDBETWEEN(1,4)</f>
        <v>2</v>
      </c>
      <c r="BA6">
        <f ca="1">RANDBETWEEN(1,4)</f>
        <v>1</v>
      </c>
      <c r="BB6">
        <v>0</v>
      </c>
      <c r="BC6">
        <v>0</v>
      </c>
      <c r="BE6">
        <v>1</v>
      </c>
      <c r="BF6" t="s">
        <v>53</v>
      </c>
      <c r="BG6" t="s">
        <v>65</v>
      </c>
      <c r="BH6" t="s">
        <v>66</v>
      </c>
      <c r="BK6">
        <v>1</v>
      </c>
      <c r="BL6" t="s">
        <v>40</v>
      </c>
      <c r="BM6">
        <v>2000</v>
      </c>
      <c r="BQ6">
        <v>1</v>
      </c>
      <c r="BR6" t="s">
        <v>144</v>
      </c>
      <c r="BT6" t="s">
        <v>8</v>
      </c>
      <c r="BW6">
        <v>1</v>
      </c>
      <c r="BX6" t="s">
        <v>144</v>
      </c>
      <c r="BY6">
        <v>1</v>
      </c>
      <c r="BZ6" t="s">
        <v>150</v>
      </c>
      <c r="CA6">
        <v>1</v>
      </c>
      <c r="CB6" t="s">
        <v>144</v>
      </c>
      <c r="CC6">
        <v>1</v>
      </c>
      <c r="CD6" t="s">
        <v>145</v>
      </c>
      <c r="CF6">
        <v>2</v>
      </c>
      <c r="CG6" t="s">
        <v>160</v>
      </c>
      <c r="CI6">
        <v>2</v>
      </c>
      <c r="CJ6" t="s">
        <v>161</v>
      </c>
      <c r="CL6">
        <v>2</v>
      </c>
      <c r="CM6" t="s">
        <v>236</v>
      </c>
      <c r="CO6">
        <v>2</v>
      </c>
      <c r="CP6" t="s">
        <v>260</v>
      </c>
      <c r="CR6">
        <v>2</v>
      </c>
      <c r="CS6" t="s">
        <v>308</v>
      </c>
      <c r="CU6">
        <v>2</v>
      </c>
      <c r="CV6" t="s">
        <v>340</v>
      </c>
      <c r="CX6">
        <v>2</v>
      </c>
      <c r="CY6">
        <v>1</v>
      </c>
      <c r="DA6">
        <v>2</v>
      </c>
      <c r="DB6">
        <v>1</v>
      </c>
      <c r="DD6">
        <v>2</v>
      </c>
      <c r="DE6">
        <v>1</v>
      </c>
      <c r="DG6">
        <v>2</v>
      </c>
      <c r="DH6" t="s">
        <v>349</v>
      </c>
      <c r="DK6">
        <v>2</v>
      </c>
      <c r="DL6" t="s">
        <v>362</v>
      </c>
      <c r="DN6">
        <v>2</v>
      </c>
      <c r="DO6" t="s">
        <v>504</v>
      </c>
      <c r="DQ6" t="s">
        <v>9</v>
      </c>
      <c r="DR6">
        <v>2</v>
      </c>
    </row>
    <row r="7" spans="2:122" x14ac:dyDescent="0.3">
      <c r="C7" s="5"/>
      <c r="D7" t="str">
        <f ca="1">IF(AP10&gt;-1,VLOOKUP(AO10,$AX$75:$AZ$174,2),"")</f>
        <v>Emerald</v>
      </c>
      <c r="E7" cm="1">
        <f t="array" aca="1" ref="E7" ca="1">_xlfn.IFS(D7="","",D7="Starstone", VLOOKUP($BK$4,$BK$6:$BM$11,3)*AI10*AJ10, D7 = "Tristal", VLOOKUP($BK$14,$BK$16:$BM$24,3)*AI10*AJ10, 1=1, VLOOKUP(AO10,$AX$75:$AZ$174,3)*AI10*AJ10)</f>
        <v>5000</v>
      </c>
      <c r="F7" t="str" cm="1">
        <f t="array" aca="1" ref="F7" ca="1">IF(D7="","",_xlfn.IFS(AH10&gt;5,"Normal",AND(AH10&lt;=5,$BK$28&lt;=4),VLOOKUP(AF10,$BK$29:$BN$39,2),AND(AH10&lt;=5,$BK$28&gt;=9),VLOOKUP(AF10,$BK$29:$BN$39,2), 1=1, "Normal"))</f>
        <v>Normal</v>
      </c>
      <c r="G7" t="str" cm="1">
        <f t="array" aca="1" ref="G7" ca="1">IF(D7="","",_xlfn.IFS(AH10&gt;5, "Normal", AND(AH10&lt;=5, $BL$28&lt;=8, $BL$28&gt;=5), VLOOKUP(AG10,$BK$29:$BN$39,3), AND(AH10&lt;=5,$BK$28&gt;=9), VLOOKUP(AG10,$BK$29:$BN$39,3), 1=1, "Normal"))</f>
        <v>Normal</v>
      </c>
      <c r="H7" t="str">
        <f t="shared" ref="H7:H70" ca="1" si="2">IF(D7 = "Tristal", VLOOKUP($BK$14,$BK$16:$BM$24,2), "")</f>
        <v/>
      </c>
      <c r="I7" t="str">
        <f t="shared" ref="I7:I70" ca="1" si="3">IF(D7="Starstone", VLOOKUP($BK$4,$BK$6:$BM$11,2), "")</f>
        <v/>
      </c>
      <c r="J7" s="5"/>
      <c r="K7" t="str" cm="1">
        <f t="array" aca="1" ref="K7" ca="1">IF(L7="","",(_xlfn.IFS(L7&gt;=15000,VLOOKUP(AW10,$BE$5:$BH$15,4),L7&gt;=4000,VLOOKUP(AW10,$BE$5:$BH$15,3),L7&gt;=100,VLOOKUP(AW10,$BE$5:$BH$15,2))))</f>
        <v>Anklet</v>
      </c>
      <c r="L7">
        <f t="shared" ref="L7:L70" ca="1" si="4">IF(AV9&gt;0,VLOOKUP(AS10,$AX$177:$AY$276,2),"")</f>
        <v>2500</v>
      </c>
      <c r="M7" s="5"/>
      <c r="N7" t="str" cm="1">
        <f t="array" aca="1" ref="N7" ca="1">_xlfn.IFS(O7="Potion",VLOOKUP(AB7,$CF$5:$CG$104,2),O7="Ring",VLOOKUP(AB7,$CI$5:$CJ$104,2),O7="Scroll",VLOOKUP(AB7,$CL$5:$CM$104,2),O7="Misc. Magical Item",VLOOKUP(AB7,$CO$5:$CP$104,2),O7="Wand, Staff, or Rod",VLOOKUP(AB7,$CR$5:$CS$104,2),O7="","",1=1,_xlfn.CONCAT("*See ",O7," tab*"))</f>
        <v>Spell Scroll</v>
      </c>
      <c r="O7" t="str">
        <f ca="1">IF(AD6&gt;0, VLOOKUP(AC7,INDIRECT(VLOOKUP($C$3,$BT$23:$BU$37,2)), 2), "")</f>
        <v>Scroll</v>
      </c>
      <c r="P7" t="str" cm="1">
        <f t="array" aca="1" ref="P7" ca="1">_xlfn.IFS(O7="Sword", VLOOKUP(R7,concat!$A$2:$B$101, 2), 'Lair Treasures'!O7="Armor or Shield", VLOOKUP(Q7, concat!$G$2:$H$21,2), 'Lair Treasures'!O7="Misc. Weapon", VLOOKUP(Q7, concat!$J$2:$K$21,2), 'Lair Treasures'!O7="Missile Weapon or Missile", VLOOKUP(Q7, concat!$M$2:$N$21,2), 'Lair Treasures'!N7= "Spell Scroll", VLOOKUP(Q7, concat!$D$2:$E$21,2), 1=1, "")</f>
        <v>Magical, 1 Spells| Summon Object|  |</v>
      </c>
      <c r="Q7" s="1">
        <f ca="1">RANDBETWEEN(1,20)</f>
        <v>19</v>
      </c>
      <c r="R7" s="1">
        <f ca="1">RANDBETWEEN(1,100)</f>
        <v>50</v>
      </c>
      <c r="Z7">
        <f ca="1">RANDBETWEEN(1,100)</f>
        <v>95</v>
      </c>
      <c r="AA7">
        <f ca="1">RANDBETWEEN(1,100)</f>
        <v>25</v>
      </c>
      <c r="AB7">
        <f ca="1">RANDBETWEEN(1,100)</f>
        <v>90</v>
      </c>
      <c r="AC7">
        <f ca="1">RANDBETWEEN(1,100)</f>
        <v>30</v>
      </c>
      <c r="AD7">
        <f ca="1">AD6-1</f>
        <v>5</v>
      </c>
      <c r="AX7" t="s">
        <v>10</v>
      </c>
      <c r="AY7">
        <f ca="1">RANDBETWEEN(1,8)</f>
        <v>3</v>
      </c>
      <c r="AZ7">
        <f ca="1">RANDBETWEEN(1,12)</f>
        <v>11</v>
      </c>
      <c r="BA7">
        <v>0</v>
      </c>
      <c r="BB7">
        <f t="shared" ca="1" si="0"/>
        <v>1</v>
      </c>
      <c r="BC7">
        <v>0</v>
      </c>
      <c r="BE7">
        <v>2</v>
      </c>
      <c r="BF7" t="s">
        <v>54</v>
      </c>
      <c r="BG7" t="s">
        <v>67</v>
      </c>
      <c r="BH7" t="s">
        <v>68</v>
      </c>
      <c r="BK7">
        <v>2</v>
      </c>
      <c r="BL7" t="s">
        <v>41</v>
      </c>
      <c r="BM7">
        <v>2000</v>
      </c>
      <c r="BQ7">
        <v>2</v>
      </c>
      <c r="BR7" t="s">
        <v>144</v>
      </c>
      <c r="BT7" t="s">
        <v>9</v>
      </c>
      <c r="BW7">
        <v>2</v>
      </c>
      <c r="BX7" t="s">
        <v>144</v>
      </c>
      <c r="BY7">
        <v>2</v>
      </c>
      <c r="BZ7" t="s">
        <v>150</v>
      </c>
      <c r="CA7">
        <v>2</v>
      </c>
      <c r="CB7" t="s">
        <v>144</v>
      </c>
      <c r="CC7">
        <v>2</v>
      </c>
      <c r="CD7" t="s">
        <v>145</v>
      </c>
      <c r="CF7">
        <v>3</v>
      </c>
      <c r="CG7" t="s">
        <v>161</v>
      </c>
      <c r="CI7">
        <v>3</v>
      </c>
      <c r="CJ7" t="s">
        <v>169</v>
      </c>
      <c r="CL7">
        <v>3</v>
      </c>
      <c r="CM7" t="s">
        <v>236</v>
      </c>
      <c r="CO7">
        <v>3</v>
      </c>
      <c r="CP7" t="s">
        <v>261</v>
      </c>
      <c r="CR7">
        <v>3</v>
      </c>
      <c r="CS7" t="s">
        <v>308</v>
      </c>
      <c r="CU7">
        <v>3</v>
      </c>
      <c r="CV7" t="s">
        <v>340</v>
      </c>
      <c r="CX7">
        <v>3</v>
      </c>
      <c r="CY7">
        <v>1</v>
      </c>
      <c r="DA7">
        <v>3</v>
      </c>
      <c r="DB7">
        <v>1</v>
      </c>
      <c r="DD7">
        <v>3</v>
      </c>
      <c r="DE7">
        <v>1</v>
      </c>
      <c r="DG7">
        <v>3</v>
      </c>
      <c r="DH7" t="s">
        <v>350</v>
      </c>
      <c r="DK7">
        <v>3</v>
      </c>
      <c r="DL7" t="s">
        <v>350</v>
      </c>
      <c r="DN7">
        <v>3</v>
      </c>
      <c r="DO7" t="s">
        <v>505</v>
      </c>
      <c r="DQ7" t="s">
        <v>10</v>
      </c>
      <c r="DR7">
        <v>3</v>
      </c>
    </row>
    <row r="8" spans="2:122" x14ac:dyDescent="0.3">
      <c r="C8" s="5"/>
      <c r="D8" t="str">
        <f t="shared" ref="D8:D71" ca="1" si="5">IF(AP11&gt;-1,VLOOKUP(AO11,$AX$75:$AZ$174,2),"")</f>
        <v>Coral</v>
      </c>
      <c r="E8" cm="1">
        <f t="array" aca="1" ref="E8" ca="1">_xlfn.IFS(D8="","",D8="Starstone", VLOOKUP($BK$4,$BK$6:$BM$11,3)*AI11*AJ11, D8 = "Tristal", VLOOKUP($BK$14,$BK$16:$BM$24,3)*AI11*AJ11, 1=1, VLOOKUP(AO11,$AX$75:$AZ$174,3)*AI11*AJ11)</f>
        <v>100</v>
      </c>
      <c r="F8" t="str" cm="1">
        <f t="array" aca="1" ref="F8" ca="1">IF(D8="","",_xlfn.IFS(AH11&gt;5,"Normal",AND(AH11&lt;=5,$BK$28&lt;=4),VLOOKUP(AF11,$BK$29:$BN$39,2),AND(AH11&lt;=5,$BK$28&gt;=9),VLOOKUP(AF11,$BK$29:$BN$39,2), 1=1, "Normal"))</f>
        <v>Normal</v>
      </c>
      <c r="G8" t="str" cm="1">
        <f t="array" aca="1" ref="G8" ca="1">IF(D8="","",_xlfn.IFS(AH11&gt;5, "Normal", AND(AH11&lt;=5, $BL$28&lt;=8, $BL$28&gt;=5), VLOOKUP(AG11,$BK$29:$BN$39,3), AND(AH11&lt;=5,$BK$28&gt;=9), VLOOKUP(AG11,$BK$29:$BN$39,3), 1=1, "Normal"))</f>
        <v>Normal</v>
      </c>
      <c r="H8" t="str">
        <f t="shared" ca="1" si="2"/>
        <v/>
      </c>
      <c r="I8" t="str">
        <f t="shared" ca="1" si="3"/>
        <v/>
      </c>
      <c r="J8" s="5"/>
      <c r="K8" t="str" cm="1">
        <f t="array" aca="1" ref="K8" ca="1">IF(L8="","",(_xlfn.IFS(L8&gt;=15000,VLOOKUP(AW11,$BE$5:$BH$15,4),L8&gt;=4000,VLOOKUP(AW11,$BE$5:$BH$15,3),L8&gt;=100,VLOOKUP(AW11,$BE$5:$BH$15,2))))</f>
        <v>Leaf</v>
      </c>
      <c r="L8">
        <f t="shared" ca="1" si="4"/>
        <v>5000</v>
      </c>
      <c r="M8" s="5"/>
      <c r="N8" t="str" cm="1">
        <f t="array" aca="1" ref="N8" ca="1">_xlfn.IFS(O8="Potion",VLOOKUP(AB8,$CF$5:$CG$104,2),O8="Ring",VLOOKUP(AB8,$CI$5:$CJ$104,2),O8="Scroll",VLOOKUP(AB8,$CL$5:$CM$104,2),O8="Misc. Magical Item",VLOOKUP(AB8,$CO$5:$CP$104,2),O8="Wand, Staff, or Rod",VLOOKUP(AB8,$CR$5:$CS$104,2),O8="","",1=1,_xlfn.CONCAT("*See ",O8," tab*"))</f>
        <v>Staff of the Druids (DR)</v>
      </c>
      <c r="O8" t="str">
        <f t="shared" ref="O8:O25" ca="1" si="6">IF(AD7&gt;0, VLOOKUP(AC8,INDIRECT(VLOOKUP($C$3,$BT$23:$BU$37,2)), 2), "")</f>
        <v>Wand, Staff, or Rod</v>
      </c>
      <c r="P8" t="str" cm="1">
        <f t="array" aca="1" ref="P8" ca="1">_xlfn.IFS(O8="Sword", VLOOKUP(R8,concat!$A$2:$B$101, 2), 'Lair Treasures'!O8="Armor or Shield", VLOOKUP(Q8, concat!$G$2:$H$21,2), 'Lair Treasures'!O8="Misc. Weapon", VLOOKUP(Q8, concat!$J$2:$K$21,2), 'Lair Treasures'!O8="Missile Weapon or Missile", VLOOKUP(Q8, concat!$M$2:$N$21,2), 'Lair Treasures'!N8= "Spell Scroll", VLOOKUP(Q8, concat!$D$2:$E$21,2), 1=1, "")</f>
        <v/>
      </c>
      <c r="Q8" s="1">
        <f t="shared" ref="Q8:Q46" ca="1" si="7">RANDBETWEEN(1,20)</f>
        <v>7</v>
      </c>
      <c r="R8" s="1">
        <f t="shared" ref="R8:R46" ca="1" si="8">RANDBETWEEN(1,100)</f>
        <v>62</v>
      </c>
      <c r="Z8">
        <f t="shared" ref="Z8:Z25" ca="1" si="9">RANDBETWEEN(1,100)</f>
        <v>85</v>
      </c>
      <c r="AA8">
        <f t="shared" ref="AA8:AA25" ca="1" si="10">RANDBETWEEN(1,100)</f>
        <v>4</v>
      </c>
      <c r="AB8">
        <f t="shared" ref="AB8:AB25" ca="1" si="11">RANDBETWEEN(1,100)</f>
        <v>64</v>
      </c>
      <c r="AC8">
        <f t="shared" ref="AC8:AC25" ca="1" si="12">RANDBETWEEN(1,100)</f>
        <v>44</v>
      </c>
      <c r="AD8">
        <f t="shared" ref="AD8:AD25" ca="1" si="13">AD7-1</f>
        <v>4</v>
      </c>
      <c r="AX8" t="s">
        <v>11</v>
      </c>
      <c r="AY8">
        <f ca="1">RANDBETWEEN(1,10)</f>
        <v>3</v>
      </c>
      <c r="AZ8">
        <f ca="1">RANDBETWEEN(1,12)</f>
        <v>11</v>
      </c>
      <c r="BA8">
        <f ca="1">RANDBETWEEN(1,4)</f>
        <v>2</v>
      </c>
      <c r="BB8">
        <f ca="1">RANDBETWEEN(1,8)</f>
        <v>7</v>
      </c>
      <c r="BC8">
        <v>0</v>
      </c>
      <c r="BE8">
        <v>3</v>
      </c>
      <c r="BF8" t="s">
        <v>55</v>
      </c>
      <c r="BG8" t="s">
        <v>69</v>
      </c>
      <c r="BH8" t="s">
        <v>70</v>
      </c>
      <c r="BK8">
        <v>3</v>
      </c>
      <c r="BL8" t="s">
        <v>42</v>
      </c>
      <c r="BM8">
        <v>10000</v>
      </c>
      <c r="BQ8">
        <v>3</v>
      </c>
      <c r="BR8" t="s">
        <v>144</v>
      </c>
      <c r="BT8" t="s">
        <v>10</v>
      </c>
      <c r="BW8">
        <v>3</v>
      </c>
      <c r="BX8" t="s">
        <v>144</v>
      </c>
      <c r="BY8">
        <v>3</v>
      </c>
      <c r="BZ8" t="s">
        <v>150</v>
      </c>
      <c r="CA8">
        <v>3</v>
      </c>
      <c r="CB8" t="s">
        <v>144</v>
      </c>
      <c r="CC8">
        <v>3</v>
      </c>
      <c r="CD8" t="s">
        <v>145</v>
      </c>
      <c r="CF8">
        <v>4</v>
      </c>
      <c r="CG8" t="s">
        <v>162</v>
      </c>
      <c r="CI8">
        <v>4</v>
      </c>
      <c r="CJ8" t="s">
        <v>169</v>
      </c>
      <c r="CL8">
        <v>4</v>
      </c>
      <c r="CM8" t="s">
        <v>237</v>
      </c>
      <c r="CO8">
        <v>4</v>
      </c>
      <c r="CP8" t="s">
        <v>261</v>
      </c>
      <c r="CR8">
        <v>4</v>
      </c>
      <c r="CS8" t="s">
        <v>308</v>
      </c>
      <c r="CU8">
        <v>4</v>
      </c>
      <c r="CV8" t="s">
        <v>340</v>
      </c>
      <c r="CX8">
        <v>4</v>
      </c>
      <c r="CY8">
        <v>1</v>
      </c>
      <c r="DA8">
        <v>4</v>
      </c>
      <c r="DB8">
        <v>1</v>
      </c>
      <c r="DD8">
        <v>4</v>
      </c>
      <c r="DE8">
        <v>1</v>
      </c>
      <c r="DG8">
        <v>4</v>
      </c>
      <c r="DH8" t="s">
        <v>351</v>
      </c>
      <c r="DK8">
        <v>4</v>
      </c>
      <c r="DL8" t="s">
        <v>458</v>
      </c>
      <c r="DN8">
        <v>4</v>
      </c>
      <c r="DO8" t="s">
        <v>506</v>
      </c>
      <c r="DQ8" t="s">
        <v>11</v>
      </c>
      <c r="DR8">
        <v>4</v>
      </c>
    </row>
    <row r="9" spans="2:122" x14ac:dyDescent="0.3">
      <c r="C9" s="5"/>
      <c r="D9" t="str">
        <f t="shared" ca="1" si="5"/>
        <v>Crystal</v>
      </c>
      <c r="E9" cm="1">
        <f t="array" aca="1" ref="E9" ca="1">_xlfn.IFS(D9="","",D9="Starstone", VLOOKUP($BK$4,$BK$6:$BM$11,3)*AI12*AJ12, D9 = "Tristal", VLOOKUP($BK$14,$BK$16:$BM$24,3)*AI12*AJ12, 1=1, VLOOKUP(AO12,$AX$75:$AZ$174,3)*AI12*AJ12)</f>
        <v>50</v>
      </c>
      <c r="F9" t="str" cm="1">
        <f t="array" aca="1" ref="F9" ca="1">IF(D9="","",_xlfn.IFS(AH12&gt;5,"Normal",AND(AH12&lt;=5,$BK$28&lt;=4),VLOOKUP(AF12,$BK$29:$BN$39,2),AND(AH12&lt;=5,$BK$28&gt;=9),VLOOKUP(AF12,$BK$29:$BN$39,2), 1=1, "Normal"))</f>
        <v>Normal</v>
      </c>
      <c r="G9" t="str" cm="1">
        <f t="array" aca="1" ref="G9" ca="1">IF(D9="","",_xlfn.IFS(AH12&gt;5, "Normal", AND(AH12&lt;=5, $BL$28&lt;=8, $BL$28&gt;=5), VLOOKUP(AG12,$BK$29:$BN$39,3), AND(AH12&lt;=5,$BK$28&gt;=9), VLOOKUP(AG12,$BK$29:$BN$39,3), 1=1, "Normal"))</f>
        <v>Normal</v>
      </c>
      <c r="H9" t="str">
        <f t="shared" ca="1" si="2"/>
        <v/>
      </c>
      <c r="I9" t="str">
        <f t="shared" ca="1" si="3"/>
        <v/>
      </c>
      <c r="J9" s="5"/>
      <c r="K9" t="str" cm="1">
        <f t="array" aca="1" ref="K9" ca="1">IF(L9="","",(_xlfn.IFS(L9&gt;=15000,VLOOKUP(AW12,$BE$5:$BH$15,4),L9&gt;=4000,VLOOKUP(AW12,$BE$5:$BH$15,3),L9&gt;=100,VLOOKUP(AW12,$BE$5:$BH$15,2))))</f>
        <v>Leaf</v>
      </c>
      <c r="L9">
        <f t="shared" ca="1" si="4"/>
        <v>7500</v>
      </c>
      <c r="M9" s="5"/>
      <c r="N9" t="str" cm="1">
        <f t="array" aca="1" ref="N9" ca="1">_xlfn.IFS(O9="Potion",VLOOKUP(AB9,$CF$5:$CG$104,2),O9="Ring",VLOOKUP(AB9,$CI$5:$CJ$104,2),O9="Scroll",VLOOKUP(AB9,$CL$5:$CM$104,2),O9="Misc. Magical Item",VLOOKUP(AB9,$CO$5:$CP$104,2),O9="Wand, Staff, or Rod",VLOOKUP(AB9,$CR$5:$CS$104,2),O9="","",1=1,_xlfn.CONCAT("*See ",O9," tab*"))</f>
        <v>Wand of Magic Detection (M)</v>
      </c>
      <c r="O9" t="str">
        <f t="shared" ca="1" si="6"/>
        <v>Wand, Staff, or Rod</v>
      </c>
      <c r="P9" t="str" cm="1">
        <f t="array" aca="1" ref="P9" ca="1">_xlfn.IFS(O9="Sword", VLOOKUP(R9,concat!$A$2:$B$101, 2), 'Lair Treasures'!O9="Armor or Shield", VLOOKUP(Q9, concat!$G$2:$H$21,2), 'Lair Treasures'!O9="Misc. Weapon", VLOOKUP(Q9, concat!$J$2:$K$21,2), 'Lair Treasures'!O9="Missile Weapon or Missile", VLOOKUP(Q9, concat!$M$2:$N$21,2), 'Lair Treasures'!N9= "Spell Scroll", VLOOKUP(Q9, concat!$D$2:$E$21,2), 1=1, "")</f>
        <v/>
      </c>
      <c r="Q9" s="1">
        <f t="shared" ca="1" si="7"/>
        <v>8</v>
      </c>
      <c r="R9" s="1">
        <f t="shared" ca="1" si="8"/>
        <v>10</v>
      </c>
      <c r="Z9">
        <f t="shared" ca="1" si="9"/>
        <v>75</v>
      </c>
      <c r="AA9">
        <f t="shared" ca="1" si="10"/>
        <v>44</v>
      </c>
      <c r="AB9">
        <f t="shared" ca="1" si="11"/>
        <v>29</v>
      </c>
      <c r="AC9">
        <f t="shared" ca="1" si="12"/>
        <v>40</v>
      </c>
      <c r="AD9">
        <f t="shared" ca="1" si="13"/>
        <v>3</v>
      </c>
      <c r="AF9" s="1" t="s">
        <v>134</v>
      </c>
      <c r="AG9" s="1" t="s">
        <v>135</v>
      </c>
      <c r="AH9" s="1" t="s">
        <v>133</v>
      </c>
      <c r="AI9" s="1" t="s">
        <v>131</v>
      </c>
      <c r="AJ9" s="1" t="s">
        <v>132</v>
      </c>
      <c r="AO9" s="1"/>
      <c r="AP9" s="10">
        <f ca="1">I3</f>
        <v>67</v>
      </c>
      <c r="AS9" s="1"/>
      <c r="AV9" s="1">
        <f ca="1">J3</f>
        <v>10</v>
      </c>
      <c r="AW9" s="1"/>
      <c r="AX9" t="s">
        <v>12</v>
      </c>
      <c r="AY9">
        <v>0</v>
      </c>
      <c r="AZ9">
        <f ca="1">RANDBETWEEN(1,10)+RANDBETWEEN(1,10)</f>
        <v>9</v>
      </c>
      <c r="BA9">
        <f ca="1">RANDBETWEEN(1,8)</f>
        <v>1</v>
      </c>
      <c r="BB9">
        <f ca="1">RANDBETWEEN(1,12)</f>
        <v>12</v>
      </c>
      <c r="BC9">
        <f ca="1">RANDBETWEEN(1,3)</f>
        <v>3</v>
      </c>
      <c r="BE9">
        <v>4</v>
      </c>
      <c r="BF9" t="s">
        <v>56</v>
      </c>
      <c r="BG9" t="s">
        <v>71</v>
      </c>
      <c r="BH9" t="s">
        <v>72</v>
      </c>
      <c r="BK9">
        <v>4</v>
      </c>
      <c r="BL9" t="s">
        <v>43</v>
      </c>
      <c r="BM9">
        <v>10000</v>
      </c>
      <c r="BQ9">
        <v>4</v>
      </c>
      <c r="BR9" t="s">
        <v>144</v>
      </c>
      <c r="BT9" t="s">
        <v>11</v>
      </c>
      <c r="BW9">
        <v>4</v>
      </c>
      <c r="BX9" t="s">
        <v>144</v>
      </c>
      <c r="BY9">
        <v>4</v>
      </c>
      <c r="BZ9" t="s">
        <v>150</v>
      </c>
      <c r="CA9">
        <v>4</v>
      </c>
      <c r="CB9" t="s">
        <v>144</v>
      </c>
      <c r="CC9">
        <v>4</v>
      </c>
      <c r="CD9" t="s">
        <v>145</v>
      </c>
      <c r="CF9">
        <v>5</v>
      </c>
      <c r="CG9" t="s">
        <v>162</v>
      </c>
      <c r="CI9">
        <v>5</v>
      </c>
      <c r="CJ9" t="s">
        <v>169</v>
      </c>
      <c r="CL9">
        <v>5</v>
      </c>
      <c r="CM9" t="s">
        <v>237</v>
      </c>
      <c r="CO9">
        <v>5</v>
      </c>
      <c r="CP9" t="s">
        <v>262</v>
      </c>
      <c r="CR9">
        <v>5</v>
      </c>
      <c r="CS9" t="s">
        <v>308</v>
      </c>
      <c r="CU9">
        <v>5</v>
      </c>
      <c r="CV9" t="s">
        <v>340</v>
      </c>
      <c r="CX9">
        <v>5</v>
      </c>
      <c r="CY9">
        <v>1</v>
      </c>
      <c r="DA9">
        <v>5</v>
      </c>
      <c r="DB9">
        <v>1</v>
      </c>
      <c r="DD9">
        <v>5</v>
      </c>
      <c r="DE9">
        <v>1</v>
      </c>
      <c r="DG9">
        <v>5</v>
      </c>
      <c r="DH9" t="s">
        <v>352</v>
      </c>
      <c r="DK9">
        <v>5</v>
      </c>
      <c r="DL9" t="s">
        <v>355</v>
      </c>
      <c r="DN9">
        <v>5</v>
      </c>
      <c r="DO9" t="s">
        <v>507</v>
      </c>
      <c r="DQ9" t="s">
        <v>12</v>
      </c>
      <c r="DR9">
        <v>5</v>
      </c>
    </row>
    <row r="10" spans="2:122" x14ac:dyDescent="0.3">
      <c r="C10" s="5"/>
      <c r="D10" t="str">
        <f t="shared" ca="1" si="5"/>
        <v>Jacinth</v>
      </c>
      <c r="E10" cm="1">
        <f t="array" aca="1" ref="E10" ca="1">_xlfn.IFS(D10="","",D10="Starstone", VLOOKUP($BK$4,$BK$6:$BM$11,3)*AI13*AJ13, D10 = "Tristal", VLOOKUP($BK$14,$BK$16:$BM$24,3)*AI13*AJ13, 1=1, VLOOKUP(AO13,$AX$75:$AZ$174,3)*AI13*AJ13)</f>
        <v>10000</v>
      </c>
      <c r="F10" t="str" cm="1">
        <f t="array" aca="1" ref="F10" ca="1">IF(D10="","",_xlfn.IFS(AH13&gt;5,"Normal",AND(AH13&lt;=5,$BK$28&lt;=4),VLOOKUP(AF13,$BK$29:$BN$39,2),AND(AH13&lt;=5,$BK$28&gt;=9),VLOOKUP(AF13,$BK$29:$BN$39,2), 1=1, "Normal"))</f>
        <v>Normal</v>
      </c>
      <c r="G10" t="str" cm="1">
        <f t="array" aca="1" ref="G10" ca="1">IF(D10="","",_xlfn.IFS(AH13&gt;5, "Normal", AND(AH13&lt;=5, $BL$28&lt;=8, $BL$28&gt;=5), VLOOKUP(AG13,$BK$29:$BN$39,3), AND(AH13&lt;=5,$BK$28&gt;=9), VLOOKUP(AG13,$BK$29:$BN$39,3), 1=1, "Normal"))</f>
        <v>Normal</v>
      </c>
      <c r="H10" t="str">
        <f t="shared" ca="1" si="2"/>
        <v/>
      </c>
      <c r="I10" t="str">
        <f t="shared" ca="1" si="3"/>
        <v/>
      </c>
      <c r="J10" s="5"/>
      <c r="K10" t="str" cm="1">
        <f t="array" aca="1" ref="K10" ca="1">IF(L10="","",(_xlfn.IFS(L10&gt;=15000,VLOOKUP(AW13,$BE$5:$BH$15,4),L10&gt;=4000,VLOOKUP(AW13,$BE$5:$BH$15,3),L10&gt;=100,VLOOKUP(AW13,$BE$5:$BH$15,2))))</f>
        <v>Earring</v>
      </c>
      <c r="L10">
        <f t="shared" ca="1" si="4"/>
        <v>4000</v>
      </c>
      <c r="M10" s="5"/>
      <c r="N10" t="str" cm="1">
        <f t="array" aca="1" ref="N10" ca="1">_xlfn.IFS(O10="Potion",VLOOKUP(AB10,$CF$5:$CG$104,2),O10="Ring",VLOOKUP(AB10,$CI$5:$CJ$104,2),O10="Scroll",VLOOKUP(AB10,$CL$5:$CM$104,2),O10="Misc. Magical Item",VLOOKUP(AB10,$CO$5:$CP$104,2),O10="Wand, Staff, or Rod",VLOOKUP(AB10,$CR$5:$CS$104,2),O10="","",1=1,_xlfn.CONCAT("*See ",O10," tab*"))</f>
        <v>Horn of Blasting</v>
      </c>
      <c r="O10" t="str">
        <f t="shared" ca="1" si="6"/>
        <v>Misc. Magical Item</v>
      </c>
      <c r="P10" t="str" cm="1">
        <f t="array" aca="1" ref="P10" ca="1">_xlfn.IFS(O10="Sword", VLOOKUP(R10,concat!$A$2:$B$101, 2), 'Lair Treasures'!O10="Armor or Shield", VLOOKUP(Q10, concat!$G$2:$H$21,2), 'Lair Treasures'!O10="Misc. Weapon", VLOOKUP(Q10, concat!$J$2:$K$21,2), 'Lair Treasures'!O10="Missile Weapon or Missile", VLOOKUP(Q10, concat!$M$2:$N$21,2), 'Lair Treasures'!N10= "Spell Scroll", VLOOKUP(Q10, concat!$D$2:$E$21,2), 1=1, "")</f>
        <v/>
      </c>
      <c r="Q10" s="1">
        <f t="shared" ca="1" si="7"/>
        <v>9</v>
      </c>
      <c r="R10" s="1">
        <f t="shared" ca="1" si="8"/>
        <v>5</v>
      </c>
      <c r="Z10">
        <f t="shared" ca="1" si="9"/>
        <v>4</v>
      </c>
      <c r="AA10">
        <f t="shared" ca="1" si="10"/>
        <v>41</v>
      </c>
      <c r="AB10">
        <f t="shared" ca="1" si="11"/>
        <v>54</v>
      </c>
      <c r="AC10">
        <f t="shared" ca="1" si="12"/>
        <v>59</v>
      </c>
      <c r="AD10">
        <f t="shared" ca="1" si="13"/>
        <v>2</v>
      </c>
      <c r="AF10" s="1">
        <f ca="1">RANDBETWEEN(1,10)</f>
        <v>8</v>
      </c>
      <c r="AG10" s="1">
        <f ca="1">RANDBETWEEN(1,10)</f>
        <v>7</v>
      </c>
      <c r="AH10" s="1">
        <f ca="1">RANDBETWEEN(1,100)</f>
        <v>91</v>
      </c>
      <c r="AI10" s="1">
        <f t="shared" ref="AI10:AI73" ca="1" si="14">IF(F7="Normal",1,VLOOKUP(AF10,$BK$29:$BN$39,4))</f>
        <v>1</v>
      </c>
      <c r="AJ10" s="1">
        <f t="shared" ref="AJ10:AJ73" ca="1" si="15">IF(G7="Normal",1,VLOOKUP(AG10,$BK$29:$BN$39,4))</f>
        <v>1</v>
      </c>
      <c r="AO10" s="1">
        <f ca="1">RANDBETWEEN(1,100)</f>
        <v>87</v>
      </c>
      <c r="AP10" s="1">
        <f ca="1">AP9-1</f>
        <v>66</v>
      </c>
      <c r="AS10" s="1">
        <f ca="1">RANDBETWEEN(1,100)</f>
        <v>21</v>
      </c>
      <c r="AV10" s="1">
        <f ca="1">AV9-1</f>
        <v>9</v>
      </c>
      <c r="AW10" s="1">
        <f ca="1">RANDBETWEEN(1,10)</f>
        <v>1</v>
      </c>
      <c r="AX10" t="s">
        <v>13</v>
      </c>
      <c r="AY10">
        <v>0</v>
      </c>
      <c r="AZ10">
        <v>0</v>
      </c>
      <c r="BA10">
        <v>0</v>
      </c>
      <c r="BB10">
        <f ca="1">RANDBETWEEN(1,4)*10</f>
        <v>20</v>
      </c>
      <c r="BC10">
        <f t="shared" ca="1" si="0"/>
        <v>5</v>
      </c>
      <c r="BE10">
        <v>5</v>
      </c>
      <c r="BF10" t="s">
        <v>57</v>
      </c>
      <c r="BG10" t="s">
        <v>74</v>
      </c>
      <c r="BH10" t="s">
        <v>73</v>
      </c>
      <c r="BK10">
        <v>5</v>
      </c>
      <c r="BL10" t="s">
        <v>44</v>
      </c>
      <c r="BM10">
        <v>10000</v>
      </c>
      <c r="BQ10">
        <v>5</v>
      </c>
      <c r="BR10" t="s">
        <v>144</v>
      </c>
      <c r="BT10" t="s">
        <v>12</v>
      </c>
      <c r="BW10">
        <v>5</v>
      </c>
      <c r="BX10" t="s">
        <v>144</v>
      </c>
      <c r="BY10">
        <v>5</v>
      </c>
      <c r="BZ10" t="s">
        <v>150</v>
      </c>
      <c r="CA10">
        <v>5</v>
      </c>
      <c r="CB10" t="s">
        <v>144</v>
      </c>
      <c r="CC10">
        <v>5</v>
      </c>
      <c r="CD10" t="s">
        <v>145</v>
      </c>
      <c r="CF10">
        <v>6</v>
      </c>
      <c r="CG10" t="s">
        <v>162</v>
      </c>
      <c r="CI10">
        <v>6</v>
      </c>
      <c r="CJ10" t="s">
        <v>169</v>
      </c>
      <c r="CL10">
        <v>6</v>
      </c>
      <c r="CM10" t="s">
        <v>238</v>
      </c>
      <c r="CO10">
        <v>6</v>
      </c>
      <c r="CP10" t="s">
        <v>262</v>
      </c>
      <c r="CR10">
        <v>6</v>
      </c>
      <c r="CS10" t="s">
        <v>309</v>
      </c>
      <c r="CU10">
        <v>6</v>
      </c>
      <c r="CV10" t="s">
        <v>340</v>
      </c>
      <c r="CX10">
        <v>6</v>
      </c>
      <c r="CY10">
        <v>1</v>
      </c>
      <c r="DA10">
        <v>6</v>
      </c>
      <c r="DB10">
        <v>1</v>
      </c>
      <c r="DD10">
        <v>6</v>
      </c>
      <c r="DE10">
        <v>1</v>
      </c>
      <c r="DG10">
        <v>6</v>
      </c>
      <c r="DH10" t="s">
        <v>353</v>
      </c>
      <c r="DK10">
        <v>6</v>
      </c>
      <c r="DL10" t="s">
        <v>459</v>
      </c>
      <c r="DN10">
        <v>6</v>
      </c>
      <c r="DO10" t="s">
        <v>508</v>
      </c>
      <c r="DQ10" t="s">
        <v>13</v>
      </c>
      <c r="DR10">
        <v>5</v>
      </c>
    </row>
    <row r="11" spans="2:122" x14ac:dyDescent="0.3">
      <c r="C11" s="5"/>
      <c r="D11" t="str">
        <f t="shared" ca="1" si="5"/>
        <v>Emerald</v>
      </c>
      <c r="E11" cm="1">
        <f t="array" aca="1" ref="E11" ca="1">_xlfn.IFS(D11="","",D11="Starstone", VLOOKUP($BK$4,$BK$6:$BM$11,3)*AI14*AJ14, D11 = "Tristal", VLOOKUP($BK$14,$BK$16:$BM$24,3)*AI14*AJ14, 1=1, VLOOKUP(AO14,$AX$75:$AZ$174,3)*AI14*AJ14)</f>
        <v>5000</v>
      </c>
      <c r="F11" t="str" cm="1">
        <f t="array" aca="1" ref="F11" ca="1">IF(D11="","",_xlfn.IFS(AH14&gt;5,"Normal",AND(AH14&lt;=5,$BK$28&lt;=4),VLOOKUP(AF14,$BK$29:$BN$39,2),AND(AH14&lt;=5,$BK$28&gt;=9),VLOOKUP(AF14,$BK$29:$BN$39,2), 1=1, "Normal"))</f>
        <v>Normal</v>
      </c>
      <c r="G11" t="str" cm="1">
        <f t="array" aca="1" ref="G11" ca="1">IF(D11="","",_xlfn.IFS(AH14&gt;5, "Normal", AND(AH14&lt;=5, $BL$28&lt;=8, $BL$28&gt;=5), VLOOKUP(AG14,$BK$29:$BN$39,3), AND(AH14&lt;=5,$BK$28&gt;=9), VLOOKUP(AG14,$BK$29:$BN$39,3), 1=1, "Normal"))</f>
        <v>Normal</v>
      </c>
      <c r="H11" t="str">
        <f t="shared" ca="1" si="2"/>
        <v/>
      </c>
      <c r="I11" t="str">
        <f t="shared" ca="1" si="3"/>
        <v/>
      </c>
      <c r="J11" s="5"/>
      <c r="K11" t="str" cm="1">
        <f t="array" aca="1" ref="K11" ca="1">IF(L11="","",(_xlfn.IFS(L11&gt;=15000,VLOOKUP(AW14,$BE$5:$BH$15,4),L11&gt;=4000,VLOOKUP(AW14,$BE$5:$BH$15,3),L11&gt;=100,VLOOKUP(AW14,$BE$5:$BH$15,2))))</f>
        <v>Necklace</v>
      </c>
      <c r="L11">
        <f t="shared" ca="1" si="4"/>
        <v>5000</v>
      </c>
      <c r="M11" s="5"/>
      <c r="N11" t="str" cm="1">
        <f t="array" aca="1" ref="N11" ca="1">_xlfn.IFS(O11="Potion",VLOOKUP(AB11,$CF$5:$CG$104,2),O11="Ring",VLOOKUP(AB11,$CI$5:$CJ$104,2),O11="Scroll",VLOOKUP(AB11,$CL$5:$CM$104,2),O11="Misc. Magical Item",VLOOKUP(AB11,$CO$5:$CP$104,2),O11="Wand, Staff, or Rod",VLOOKUP(AB11,$CR$5:$CS$104,2),O11="","",1=1,_xlfn.CONCAT("*See ",O11," tab*"))</f>
        <v>*See Misc. Weapon tab*</v>
      </c>
      <c r="O11" t="str">
        <f t="shared" ca="1" si="6"/>
        <v>Misc. Weapon</v>
      </c>
      <c r="P11" t="str" cm="1">
        <f t="array" aca="1" ref="P11" ca="1">_xlfn.IFS(O11="Sword", VLOOKUP(R11,concat!$A$2:$B$101, 2), 'Lair Treasures'!O11="Armor or Shield", VLOOKUP(Q11, concat!$G$2:$H$21,2), 'Lair Treasures'!O11="Misc. Weapon", VLOOKUP(Q11, concat!$J$2:$K$21,2), 'Lair Treasures'!O11="Missile Weapon or Missile", VLOOKUP(Q11, concat!$M$2:$N$21,2), 'Lair Treasures'!N11= "Spell Scroll", VLOOKUP(Q11, concat!$D$2:$E$21,2), 1=1, "")</f>
        <v xml:space="preserve">Club, +1| Addtl. Mod: No </v>
      </c>
      <c r="Q11" s="1">
        <f t="shared" ca="1" si="7"/>
        <v>19</v>
      </c>
      <c r="R11" s="1">
        <f t="shared" ca="1" si="8"/>
        <v>7</v>
      </c>
      <c r="Z11">
        <f t="shared" ca="1" si="9"/>
        <v>78</v>
      </c>
      <c r="AA11">
        <f t="shared" ca="1" si="10"/>
        <v>23</v>
      </c>
      <c r="AB11">
        <f t="shared" ca="1" si="11"/>
        <v>34</v>
      </c>
      <c r="AC11">
        <f t="shared" ca="1" si="12"/>
        <v>99</v>
      </c>
      <c r="AD11">
        <f t="shared" ca="1" si="13"/>
        <v>1</v>
      </c>
      <c r="AF11" s="1">
        <f t="shared" ref="AF11:AG74" ca="1" si="16">RANDBETWEEN(1,10)</f>
        <v>4</v>
      </c>
      <c r="AG11" s="1">
        <f t="shared" ca="1" si="16"/>
        <v>1</v>
      </c>
      <c r="AH11" s="1">
        <f t="shared" ref="AH11:AH74" ca="1" si="17">RANDBETWEEN(1,100)</f>
        <v>43</v>
      </c>
      <c r="AI11" s="1">
        <f t="shared" ca="1" si="14"/>
        <v>1</v>
      </c>
      <c r="AJ11" s="1">
        <f t="shared" ca="1" si="15"/>
        <v>1</v>
      </c>
      <c r="AO11" s="1">
        <f t="shared" ref="AO11:AO74" ca="1" si="18">RANDBETWEEN(1,100)</f>
        <v>23</v>
      </c>
      <c r="AP11" s="1">
        <f t="shared" ref="AP11:AP74" ca="1" si="19">AP10-1</f>
        <v>65</v>
      </c>
      <c r="AS11" s="1">
        <f t="shared" ref="AS11:AS74" ca="1" si="20">RANDBETWEEN(1,100)</f>
        <v>52</v>
      </c>
      <c r="AV11" s="1">
        <f t="shared" ref="AV11:AV74" ca="1" si="21">AV10-1</f>
        <v>8</v>
      </c>
      <c r="AW11" s="1">
        <f t="shared" ref="AW11:AW74" ca="1" si="22">RANDBETWEEN(1,10)</f>
        <v>7</v>
      </c>
      <c r="AX11" t="s">
        <v>14</v>
      </c>
      <c r="AY11">
        <f ca="1">RANDBETWEEN(1,8)+RANDBETWEEN(1,8)+RANDBETWEEN(1,8)</f>
        <v>9</v>
      </c>
      <c r="AZ11">
        <f ca="1">RANDBETWEEN(1,100)</f>
        <v>17</v>
      </c>
      <c r="BA11">
        <f ca="1">RANDBETWEEN(1,4)*10</f>
        <v>30</v>
      </c>
      <c r="BB11">
        <f ca="1">RANDBETWEEN(1,6)*10</f>
        <v>30</v>
      </c>
      <c r="BC11">
        <f ca="1">RANDBETWEEN(1,4)+RANDBETWEEN(1,4)+RANDBETWEEN(1,4)+RANDBETWEEN(1,4)+RANDBETWEEN(1,4)</f>
        <v>13</v>
      </c>
      <c r="BE11">
        <v>6</v>
      </c>
      <c r="BF11" t="s">
        <v>58</v>
      </c>
      <c r="BG11" t="s">
        <v>75</v>
      </c>
      <c r="BH11" t="s">
        <v>76</v>
      </c>
      <c r="BK11">
        <v>6</v>
      </c>
      <c r="BL11" t="s">
        <v>46</v>
      </c>
      <c r="BM11">
        <v>20000</v>
      </c>
      <c r="BQ11">
        <v>6</v>
      </c>
      <c r="BR11" t="s">
        <v>144</v>
      </c>
      <c r="BT11" t="s">
        <v>13</v>
      </c>
      <c r="BW11">
        <v>6</v>
      </c>
      <c r="BX11" t="s">
        <v>144</v>
      </c>
      <c r="BY11">
        <v>6</v>
      </c>
      <c r="BZ11" t="s">
        <v>150</v>
      </c>
      <c r="CA11">
        <v>6</v>
      </c>
      <c r="CB11" t="s">
        <v>144</v>
      </c>
      <c r="CC11">
        <v>6</v>
      </c>
      <c r="CD11" t="s">
        <v>145</v>
      </c>
      <c r="CF11">
        <v>7</v>
      </c>
      <c r="CG11" t="s">
        <v>163</v>
      </c>
      <c r="CI11">
        <v>7</v>
      </c>
      <c r="CJ11" t="s">
        <v>169</v>
      </c>
      <c r="CL11">
        <v>7</v>
      </c>
      <c r="CM11" t="s">
        <v>238</v>
      </c>
      <c r="CO11">
        <v>7</v>
      </c>
      <c r="CP11" t="s">
        <v>262</v>
      </c>
      <c r="CR11">
        <v>7</v>
      </c>
      <c r="CS11" t="s">
        <v>309</v>
      </c>
      <c r="CU11">
        <v>7</v>
      </c>
      <c r="CV11" t="s">
        <v>340</v>
      </c>
      <c r="CX11">
        <v>7</v>
      </c>
      <c r="CY11">
        <v>1</v>
      </c>
      <c r="DA11">
        <v>7</v>
      </c>
      <c r="DB11">
        <v>1</v>
      </c>
      <c r="DD11">
        <v>7</v>
      </c>
      <c r="DE11">
        <v>1</v>
      </c>
      <c r="DG11">
        <v>7</v>
      </c>
      <c r="DH11" t="s">
        <v>354</v>
      </c>
      <c r="DK11">
        <v>7</v>
      </c>
      <c r="DL11" t="s">
        <v>460</v>
      </c>
      <c r="DN11">
        <v>7</v>
      </c>
      <c r="DO11" t="s">
        <v>509</v>
      </c>
      <c r="DQ11" t="s">
        <v>14</v>
      </c>
      <c r="DR11">
        <v>6</v>
      </c>
    </row>
    <row r="12" spans="2:122" x14ac:dyDescent="0.3">
      <c r="C12" s="5"/>
      <c r="D12" t="str">
        <f t="shared" ca="1" si="5"/>
        <v>Carbuncle</v>
      </c>
      <c r="E12" cm="1">
        <f t="array" aca="1" ref="E12" ca="1">_xlfn.IFS(D12="","",D12="Starstone", VLOOKUP($BK$4,$BK$6:$BM$11,3)*AI15*AJ15, D12 = "Tristal", VLOOKUP($BK$14,$BK$16:$BM$24,3)*AI15*AJ15, 1=1, VLOOKUP(AO15,$AX$75:$AZ$174,3)*AI15*AJ15)</f>
        <v>1000</v>
      </c>
      <c r="F12" t="str" cm="1">
        <f t="array" aca="1" ref="F12" ca="1">IF(D12="","",_xlfn.IFS(AH15&gt;5,"Normal",AND(AH15&lt;=5,$BK$28&lt;=4),VLOOKUP(AF15,$BK$29:$BN$39,2),AND(AH15&lt;=5,$BK$28&gt;=9),VLOOKUP(AF15,$BK$29:$BN$39,2), 1=1, "Normal"))</f>
        <v>Normal</v>
      </c>
      <c r="G12" t="str" cm="1">
        <f t="array" aca="1" ref="G12" ca="1">IF(D12="","",_xlfn.IFS(AH15&gt;5, "Normal", AND(AH15&lt;=5, $BL$28&lt;=8, $BL$28&gt;=5), VLOOKUP(AG15,$BK$29:$BN$39,3), AND(AH15&lt;=5,$BK$28&gt;=9), VLOOKUP(AG15,$BK$29:$BN$39,3), 1=1, "Normal"))</f>
        <v>Normal</v>
      </c>
      <c r="H12" t="str">
        <f t="shared" ca="1" si="2"/>
        <v/>
      </c>
      <c r="I12" t="str">
        <f t="shared" ca="1" si="3"/>
        <v/>
      </c>
      <c r="J12" s="5"/>
      <c r="K12" t="str" cm="1">
        <f t="array" aca="1" ref="K12" ca="1">IF(L12="","",(_xlfn.IFS(L12&gt;=15000,VLOOKUP(AW15,$BE$5:$BH$15,4),L12&gt;=4000,VLOOKUP(AW15,$BE$5:$BH$15,3),L12&gt;=100,VLOOKUP(AW15,$BE$5:$BH$15,2))))</f>
        <v>Cameo</v>
      </c>
      <c r="L12">
        <f t="shared" ca="1" si="4"/>
        <v>2000</v>
      </c>
      <c r="M12" s="5"/>
      <c r="N12" t="str" cm="1">
        <f t="array" aca="1" ref="N12" ca="1">_xlfn.IFS(O12="Potion",VLOOKUP(AB12,$CF$5:$CG$104,2),O12="Ring",VLOOKUP(AB12,$CI$5:$CJ$104,2),O12="Scroll",VLOOKUP(AB12,$CL$5:$CM$104,2),O12="Misc. Magical Item",VLOOKUP(AB12,$CO$5:$CP$104,2),O12="Wand, Staff, or Rod",VLOOKUP(AB12,$CR$5:$CS$104,2),O12="","",1=1,_xlfn.CONCAT("*See ",O12," tab*"))</f>
        <v>Wand of Magic Detection (M)</v>
      </c>
      <c r="O12" t="str">
        <f t="shared" ca="1" si="6"/>
        <v>Wand, Staff, or Rod</v>
      </c>
      <c r="P12" t="str" cm="1">
        <f t="array" aca="1" ref="P12" ca="1">_xlfn.IFS(O12="Sword", VLOOKUP(R12,concat!$A$2:$B$101, 2), 'Lair Treasures'!O12="Armor or Shield", VLOOKUP(Q12, concat!$G$2:$H$21,2), 'Lair Treasures'!O12="Misc. Weapon", VLOOKUP(Q12, concat!$J$2:$K$21,2), 'Lair Treasures'!O12="Missile Weapon or Missile", VLOOKUP(Q12, concat!$M$2:$N$21,2), 'Lair Treasures'!N12= "Spell Scroll", VLOOKUP(Q12, concat!$D$2:$E$21,2), 1=1, "")</f>
        <v/>
      </c>
      <c r="Q12" s="1">
        <f t="shared" ca="1" si="7"/>
        <v>18</v>
      </c>
      <c r="R12" s="1">
        <f t="shared" ca="1" si="8"/>
        <v>79</v>
      </c>
      <c r="Z12">
        <f t="shared" ca="1" si="9"/>
        <v>71</v>
      </c>
      <c r="AA12">
        <f t="shared" ca="1" si="10"/>
        <v>42</v>
      </c>
      <c r="AB12">
        <f t="shared" ca="1" si="11"/>
        <v>29</v>
      </c>
      <c r="AC12">
        <f t="shared" ca="1" si="12"/>
        <v>40</v>
      </c>
      <c r="AD12">
        <f t="shared" ca="1" si="13"/>
        <v>0</v>
      </c>
      <c r="AF12" s="1">
        <f t="shared" ca="1" si="16"/>
        <v>9</v>
      </c>
      <c r="AG12" s="1">
        <f t="shared" ca="1" si="16"/>
        <v>4</v>
      </c>
      <c r="AH12" s="1">
        <f t="shared" ca="1" si="17"/>
        <v>32</v>
      </c>
      <c r="AI12" s="1">
        <f t="shared" ca="1" si="14"/>
        <v>1</v>
      </c>
      <c r="AJ12" s="1">
        <f t="shared" ca="1" si="15"/>
        <v>1</v>
      </c>
      <c r="AO12" s="1">
        <f t="shared" ca="1" si="18"/>
        <v>8</v>
      </c>
      <c r="AP12" s="1">
        <f t="shared" ca="1" si="19"/>
        <v>64</v>
      </c>
      <c r="AS12" s="1">
        <f t="shared" ca="1" si="20"/>
        <v>65</v>
      </c>
      <c r="AV12" s="1">
        <f t="shared" ca="1" si="21"/>
        <v>7</v>
      </c>
      <c r="AW12" s="1">
        <f t="shared" ca="1" si="22"/>
        <v>7</v>
      </c>
      <c r="AX12" t="s">
        <v>15</v>
      </c>
      <c r="AY12">
        <v>0</v>
      </c>
      <c r="AZ12">
        <v>0</v>
      </c>
      <c r="BA12">
        <v>0</v>
      </c>
      <c r="BB12">
        <v>0</v>
      </c>
      <c r="BC12">
        <f ca="1">RANDBETWEEN(1,8)</f>
        <v>5</v>
      </c>
      <c r="BE12">
        <v>7</v>
      </c>
      <c r="BF12" t="s">
        <v>59</v>
      </c>
      <c r="BG12" t="s">
        <v>77</v>
      </c>
      <c r="BH12" t="s">
        <v>78</v>
      </c>
      <c r="BQ12">
        <v>7</v>
      </c>
      <c r="BR12" t="s">
        <v>144</v>
      </c>
      <c r="BT12" t="s">
        <v>14</v>
      </c>
      <c r="BW12">
        <v>7</v>
      </c>
      <c r="BX12" t="s">
        <v>144</v>
      </c>
      <c r="BY12">
        <v>7</v>
      </c>
      <c r="BZ12" t="s">
        <v>150</v>
      </c>
      <c r="CA12">
        <v>7</v>
      </c>
      <c r="CB12" t="s">
        <v>144</v>
      </c>
      <c r="CC12">
        <v>7</v>
      </c>
      <c r="CD12" t="s">
        <v>145</v>
      </c>
      <c r="CF12">
        <v>8</v>
      </c>
      <c r="CG12" t="s">
        <v>163</v>
      </c>
      <c r="CI12">
        <v>8</v>
      </c>
      <c r="CJ12" t="s">
        <v>169</v>
      </c>
      <c r="CL12">
        <v>8</v>
      </c>
      <c r="CM12" t="s">
        <v>238</v>
      </c>
      <c r="CO12">
        <v>8</v>
      </c>
      <c r="CP12" t="s">
        <v>262</v>
      </c>
      <c r="CR12">
        <v>8</v>
      </c>
      <c r="CS12" t="s">
        <v>309</v>
      </c>
      <c r="CU12">
        <v>8</v>
      </c>
      <c r="CV12" t="s">
        <v>340</v>
      </c>
      <c r="CX12">
        <v>8</v>
      </c>
      <c r="CY12">
        <v>1</v>
      </c>
      <c r="DA12">
        <v>8</v>
      </c>
      <c r="DB12">
        <v>1</v>
      </c>
      <c r="DD12">
        <v>8</v>
      </c>
      <c r="DE12">
        <v>1</v>
      </c>
      <c r="DG12">
        <v>8</v>
      </c>
      <c r="DH12" t="s">
        <v>355</v>
      </c>
      <c r="DK12">
        <v>8</v>
      </c>
      <c r="DL12" t="s">
        <v>461</v>
      </c>
      <c r="DN12">
        <v>8</v>
      </c>
      <c r="DO12" t="s">
        <v>510</v>
      </c>
      <c r="DQ12" t="s">
        <v>15</v>
      </c>
      <c r="DR12">
        <v>1</v>
      </c>
    </row>
    <row r="13" spans="2:122" x14ac:dyDescent="0.3">
      <c r="C13" s="5"/>
      <c r="D13" t="str">
        <f t="shared" ca="1" si="5"/>
        <v>Topaz</v>
      </c>
      <c r="E13" cm="1">
        <f t="array" aca="1" ref="E13" ca="1">_xlfn.IFS(D13="","",D13="Starstone", VLOOKUP($BK$4,$BK$6:$BM$11,3)*AI16*AJ16, D13 = "Tristal", VLOOKUP($BK$14,$BK$16:$BM$24,3)*AI16*AJ16, 1=1, VLOOKUP(AO16,$AX$75:$AZ$174,3)*AI16*AJ16)</f>
        <v>500</v>
      </c>
      <c r="F13" t="str" cm="1">
        <f t="array" aca="1" ref="F13" ca="1">IF(D13="","",_xlfn.IFS(AH16&gt;5,"Normal",AND(AH16&lt;=5,$BK$28&lt;=4),VLOOKUP(AF16,$BK$29:$BN$39,2),AND(AH16&lt;=5,$BK$28&gt;=9),VLOOKUP(AF16,$BK$29:$BN$39,2), 1=1, "Normal"))</f>
        <v>Normal</v>
      </c>
      <c r="G13" t="str" cm="1">
        <f t="array" aca="1" ref="G13" ca="1">IF(D13="","",_xlfn.IFS(AH16&gt;5, "Normal", AND(AH16&lt;=5, $BL$28&lt;=8, $BL$28&gt;=5), VLOOKUP(AG16,$BK$29:$BN$39,3), AND(AH16&lt;=5,$BK$28&gt;=9), VLOOKUP(AG16,$BK$29:$BN$39,3), 1=1, "Normal"))</f>
        <v>Normal</v>
      </c>
      <c r="H13" t="str">
        <f t="shared" ca="1" si="2"/>
        <v/>
      </c>
      <c r="I13" t="str">
        <f t="shared" ca="1" si="3"/>
        <v/>
      </c>
      <c r="J13" s="5"/>
      <c r="K13" t="str" cm="1">
        <f t="array" aca="1" ref="K13" ca="1">IF(L13="","",(_xlfn.IFS(L13&gt;=15000,VLOOKUP(AW16,$BE$5:$BH$15,4),L13&gt;=4000,VLOOKUP(AW16,$BE$5:$BH$15,3),L13&gt;=100,VLOOKUP(AW16,$BE$5:$BH$15,2))))</f>
        <v>Tiara</v>
      </c>
      <c r="L13">
        <f t="shared" ca="1" si="4"/>
        <v>20000</v>
      </c>
      <c r="M13" s="5"/>
      <c r="N13" t="str" cm="1">
        <f t="array" aca="1" ref="N13" ca="1">_xlfn.IFS(O13="Potion",VLOOKUP(AB13,$CF$5:$CG$104,2),O13="Ring",VLOOKUP(AB13,$CI$5:$CJ$104,2),O13="Scroll",VLOOKUP(AB13,$CL$5:$CM$104,2),O13="Misc. Magical Item",VLOOKUP(AB13,$CO$5:$CP$104,2),O13="Wand, Staff, or Rod",VLOOKUP(AB13,$CR$5:$CS$104,2),O13="","",1=1,_xlfn.CONCAT("*See ",O13," tab*"))</f>
        <v/>
      </c>
      <c r="O13" t="str">
        <f t="shared" ca="1" si="6"/>
        <v/>
      </c>
      <c r="P13" t="str" cm="1">
        <f t="array" aca="1" ref="P13" ca="1">_xlfn.IFS(O13="Sword", VLOOKUP(R13,concat!$A$2:$B$101, 2), 'Lair Treasures'!O13="Armor or Shield", VLOOKUP(Q13, concat!$G$2:$H$21,2), 'Lair Treasures'!O13="Misc. Weapon", VLOOKUP(Q13, concat!$J$2:$K$21,2), 'Lair Treasures'!O13="Missile Weapon or Missile", VLOOKUP(Q13, concat!$M$2:$N$21,2), 'Lair Treasures'!N13= "Spell Scroll", VLOOKUP(Q13, concat!$D$2:$E$21,2), 1=1, "")</f>
        <v/>
      </c>
      <c r="Q13" s="1">
        <f t="shared" ca="1" si="7"/>
        <v>13</v>
      </c>
      <c r="R13" s="1">
        <f t="shared" ca="1" si="8"/>
        <v>69</v>
      </c>
      <c r="Z13">
        <f t="shared" ca="1" si="9"/>
        <v>45</v>
      </c>
      <c r="AA13">
        <f t="shared" ca="1" si="10"/>
        <v>69</v>
      </c>
      <c r="AB13">
        <f t="shared" ca="1" si="11"/>
        <v>59</v>
      </c>
      <c r="AC13">
        <f t="shared" ca="1" si="12"/>
        <v>36</v>
      </c>
      <c r="AD13">
        <f t="shared" ca="1" si="13"/>
        <v>-1</v>
      </c>
      <c r="AF13" s="1">
        <f t="shared" ca="1" si="16"/>
        <v>3</v>
      </c>
      <c r="AG13" s="1">
        <f t="shared" ca="1" si="16"/>
        <v>9</v>
      </c>
      <c r="AH13" s="1">
        <f t="shared" ca="1" si="17"/>
        <v>72</v>
      </c>
      <c r="AI13" s="1">
        <f t="shared" ca="1" si="14"/>
        <v>1</v>
      </c>
      <c r="AJ13" s="1">
        <f t="shared" ca="1" si="15"/>
        <v>1</v>
      </c>
      <c r="AO13" s="1">
        <f t="shared" ca="1" si="18"/>
        <v>92</v>
      </c>
      <c r="AP13" s="1">
        <f t="shared" ca="1" si="19"/>
        <v>63</v>
      </c>
      <c r="AS13" s="1">
        <f t="shared" ca="1" si="20"/>
        <v>36</v>
      </c>
      <c r="AV13" s="1">
        <f t="shared" ca="1" si="21"/>
        <v>6</v>
      </c>
      <c r="AW13" s="1">
        <f t="shared" ca="1" si="22"/>
        <v>4</v>
      </c>
      <c r="AX13" t="s">
        <v>16</v>
      </c>
      <c r="AY13">
        <f ca="1">RANDBETWEEN(1,4)</f>
        <v>1</v>
      </c>
      <c r="AZ13">
        <f ca="1">RANDBETWEEN(1,3)</f>
        <v>3</v>
      </c>
      <c r="BA13">
        <v>0</v>
      </c>
      <c r="BB13">
        <v>0</v>
      </c>
      <c r="BC13">
        <v>0</v>
      </c>
      <c r="BE13">
        <v>8</v>
      </c>
      <c r="BF13" t="s">
        <v>60</v>
      </c>
      <c r="BG13" t="s">
        <v>79</v>
      </c>
      <c r="BH13" t="s">
        <v>80</v>
      </c>
      <c r="BQ13">
        <v>8</v>
      </c>
      <c r="BR13" t="s">
        <v>144</v>
      </c>
      <c r="BT13" t="s">
        <v>15</v>
      </c>
      <c r="BW13">
        <v>8</v>
      </c>
      <c r="BX13" t="s">
        <v>144</v>
      </c>
      <c r="BY13">
        <v>8</v>
      </c>
      <c r="BZ13" t="s">
        <v>150</v>
      </c>
      <c r="CA13">
        <v>8</v>
      </c>
      <c r="CB13" t="s">
        <v>144</v>
      </c>
      <c r="CC13">
        <v>8</v>
      </c>
      <c r="CD13" t="s">
        <v>145</v>
      </c>
      <c r="CF13">
        <v>9</v>
      </c>
      <c r="CG13" t="s">
        <v>164</v>
      </c>
      <c r="CI13">
        <v>9</v>
      </c>
      <c r="CJ13" t="s">
        <v>207</v>
      </c>
      <c r="CL13">
        <v>9</v>
      </c>
      <c r="CM13" t="s">
        <v>238</v>
      </c>
      <c r="CO13">
        <v>9</v>
      </c>
      <c r="CP13" t="s">
        <v>262</v>
      </c>
      <c r="CR13">
        <v>9</v>
      </c>
      <c r="CS13" t="s">
        <v>309</v>
      </c>
      <c r="CU13">
        <v>9</v>
      </c>
      <c r="CV13" t="s">
        <v>340</v>
      </c>
      <c r="CX13">
        <v>9</v>
      </c>
      <c r="CY13">
        <v>1</v>
      </c>
      <c r="DA13">
        <v>9</v>
      </c>
      <c r="DB13">
        <v>1</v>
      </c>
      <c r="DD13">
        <v>9</v>
      </c>
      <c r="DE13">
        <v>1</v>
      </c>
      <c r="DG13">
        <v>9</v>
      </c>
      <c r="DH13" t="s">
        <v>356</v>
      </c>
      <c r="DK13">
        <v>9</v>
      </c>
      <c r="DL13" t="s">
        <v>462</v>
      </c>
      <c r="DN13">
        <v>9</v>
      </c>
      <c r="DO13" t="s">
        <v>511</v>
      </c>
      <c r="DQ13" t="s">
        <v>16</v>
      </c>
      <c r="DR13">
        <v>0</v>
      </c>
    </row>
    <row r="14" spans="2:122" x14ac:dyDescent="0.3">
      <c r="C14" s="5"/>
      <c r="D14" t="str">
        <f t="shared" ca="1" si="5"/>
        <v>Diamond</v>
      </c>
      <c r="E14" cm="1">
        <f t="array" aca="1" ref="E14" ca="1">_xlfn.IFS(D14="","",D14="Starstone", VLOOKUP($BK$4,$BK$6:$BM$11,3)*AI17*AJ17, D14 = "Tristal", VLOOKUP($BK$14,$BK$16:$BM$24,3)*AI17*AJ17, 1=1, VLOOKUP(AO17,$AX$75:$AZ$174,3)*AI17*AJ17)</f>
        <v>10000</v>
      </c>
      <c r="F14" t="str" cm="1">
        <f t="array" aca="1" ref="F14" ca="1">IF(D14="","",_xlfn.IFS(AH17&gt;5,"Normal",AND(AH17&lt;=5,$BK$28&lt;=4),VLOOKUP(AF17,$BK$29:$BN$39,2),AND(AH17&lt;=5,$BK$28&gt;=9),VLOOKUP(AF17,$BK$29:$BN$39,2), 1=1, "Normal"))</f>
        <v>Normal</v>
      </c>
      <c r="G14" t="str" cm="1">
        <f t="array" aca="1" ref="G14" ca="1">IF(D14="","",_xlfn.IFS(AH17&gt;5, "Normal", AND(AH17&lt;=5, $BL$28&lt;=8, $BL$28&gt;=5), VLOOKUP(AG17,$BK$29:$BN$39,3), AND(AH17&lt;=5,$BK$28&gt;=9), VLOOKUP(AG17,$BK$29:$BN$39,3), 1=1, "Normal"))</f>
        <v>Normal</v>
      </c>
      <c r="H14" t="str">
        <f t="shared" ca="1" si="2"/>
        <v/>
      </c>
      <c r="I14" t="str">
        <f t="shared" ca="1" si="3"/>
        <v/>
      </c>
      <c r="J14" s="5"/>
      <c r="K14" t="str" cm="1">
        <f t="array" aca="1" ref="K14" ca="1">IF(L14="","",(_xlfn.IFS(L14&gt;=15000,VLOOKUP(AW17,$BE$5:$BH$15,4),L14&gt;=4000,VLOOKUP(AW17,$BE$5:$BH$15,3),L14&gt;=100,VLOOKUP(AW17,$BE$5:$BH$15,2))))</f>
        <v>Necklace</v>
      </c>
      <c r="L14">
        <f t="shared" ca="1" si="4"/>
        <v>7500</v>
      </c>
      <c r="M14" s="5"/>
      <c r="N14" t="str" cm="1">
        <f t="array" aca="1" ref="N14" ca="1">_xlfn.IFS(O14="Potion",VLOOKUP(AB14,$CF$5:$CG$104,2),O14="Ring",VLOOKUP(AB14,$CI$5:$CJ$104,2),O14="Scroll",VLOOKUP(AB14,$CL$5:$CM$104,2),O14="Misc. Magical Item",VLOOKUP(AB14,$CO$5:$CP$104,2),O14="Wand, Staff, or Rod",VLOOKUP(AB14,$CR$5:$CS$104,2),O14="","",1=1,_xlfn.CONCAT("*See ",O14," tab*"))</f>
        <v/>
      </c>
      <c r="O14" t="str">
        <f t="shared" ca="1" si="6"/>
        <v/>
      </c>
      <c r="P14" t="str" cm="1">
        <f t="array" aca="1" ref="P14" ca="1">_xlfn.IFS(O14="Sword", VLOOKUP(R14,concat!$A$2:$B$101, 2), 'Lair Treasures'!O14="Armor or Shield", VLOOKUP(Q14, concat!$G$2:$H$21,2), 'Lair Treasures'!O14="Misc. Weapon", VLOOKUP(Q14, concat!$J$2:$K$21,2), 'Lair Treasures'!O14="Missile Weapon or Missile", VLOOKUP(Q14, concat!$M$2:$N$21,2), 'Lair Treasures'!N14= "Spell Scroll", VLOOKUP(Q14, concat!$D$2:$E$21,2), 1=1, "")</f>
        <v/>
      </c>
      <c r="Q14" s="1">
        <f t="shared" ca="1" si="7"/>
        <v>1</v>
      </c>
      <c r="R14" s="1">
        <f t="shared" ca="1" si="8"/>
        <v>99</v>
      </c>
      <c r="Z14">
        <f t="shared" ca="1" si="9"/>
        <v>24</v>
      </c>
      <c r="AA14">
        <f t="shared" ca="1" si="10"/>
        <v>7</v>
      </c>
      <c r="AB14">
        <f t="shared" ca="1" si="11"/>
        <v>88</v>
      </c>
      <c r="AC14">
        <f t="shared" ca="1" si="12"/>
        <v>88</v>
      </c>
      <c r="AD14">
        <f t="shared" ca="1" si="13"/>
        <v>-2</v>
      </c>
      <c r="AF14" s="1">
        <f t="shared" ca="1" si="16"/>
        <v>10</v>
      </c>
      <c r="AG14" s="1">
        <f t="shared" ca="1" si="16"/>
        <v>6</v>
      </c>
      <c r="AH14" s="1">
        <f t="shared" ca="1" si="17"/>
        <v>42</v>
      </c>
      <c r="AI14" s="1">
        <f t="shared" ca="1" si="14"/>
        <v>1</v>
      </c>
      <c r="AJ14" s="1">
        <f t="shared" ca="1" si="15"/>
        <v>1</v>
      </c>
      <c r="AO14" s="1">
        <f t="shared" ca="1" si="18"/>
        <v>72</v>
      </c>
      <c r="AP14" s="1">
        <f t="shared" ca="1" si="19"/>
        <v>62</v>
      </c>
      <c r="AS14" s="1">
        <f t="shared" ca="1" si="20"/>
        <v>46</v>
      </c>
      <c r="AV14" s="1">
        <f t="shared" ca="1" si="21"/>
        <v>5</v>
      </c>
      <c r="AW14" s="1">
        <f t="shared" ca="1" si="22"/>
        <v>8</v>
      </c>
      <c r="AX14" t="s">
        <v>17</v>
      </c>
      <c r="AY14">
        <v>0</v>
      </c>
      <c r="AZ14">
        <f t="shared" ca="1" si="0"/>
        <v>4</v>
      </c>
      <c r="BA14">
        <f ca="1">RANDBETWEEN(1,2)</f>
        <v>1</v>
      </c>
      <c r="BB14">
        <v>0</v>
      </c>
      <c r="BC14">
        <v>0</v>
      </c>
      <c r="BE14">
        <v>9</v>
      </c>
      <c r="BF14" t="s">
        <v>61</v>
      </c>
      <c r="BG14" t="s">
        <v>81</v>
      </c>
      <c r="BH14" t="s">
        <v>82</v>
      </c>
      <c r="BK14">
        <f ca="1">RANDBETWEEN(1,9)</f>
        <v>1</v>
      </c>
      <c r="BQ14">
        <v>9</v>
      </c>
      <c r="BR14" t="s">
        <v>144</v>
      </c>
      <c r="BT14" t="s">
        <v>16</v>
      </c>
      <c r="BW14">
        <v>9</v>
      </c>
      <c r="BX14" t="s">
        <v>144</v>
      </c>
      <c r="BY14">
        <v>9</v>
      </c>
      <c r="BZ14" t="s">
        <v>150</v>
      </c>
      <c r="CA14">
        <v>9</v>
      </c>
      <c r="CB14" t="s">
        <v>144</v>
      </c>
      <c r="CC14">
        <v>9</v>
      </c>
      <c r="CD14" t="s">
        <v>145</v>
      </c>
      <c r="CF14">
        <v>10</v>
      </c>
      <c r="CG14" t="s">
        <v>164</v>
      </c>
      <c r="CI14">
        <v>10</v>
      </c>
      <c r="CJ14" t="s">
        <v>208</v>
      </c>
      <c r="CL14">
        <v>10</v>
      </c>
      <c r="CM14" t="s">
        <v>238</v>
      </c>
      <c r="CO14">
        <v>10</v>
      </c>
      <c r="CP14" t="s">
        <v>263</v>
      </c>
      <c r="CR14">
        <v>10</v>
      </c>
      <c r="CS14" t="s">
        <v>309</v>
      </c>
      <c r="CU14">
        <v>10</v>
      </c>
      <c r="CV14" t="s">
        <v>340</v>
      </c>
      <c r="CX14">
        <v>10</v>
      </c>
      <c r="CY14">
        <v>1</v>
      </c>
      <c r="DA14">
        <v>10</v>
      </c>
      <c r="DB14">
        <v>1</v>
      </c>
      <c r="DD14">
        <v>10</v>
      </c>
      <c r="DE14">
        <v>1</v>
      </c>
      <c r="DG14">
        <v>10</v>
      </c>
      <c r="DH14" t="s">
        <v>357</v>
      </c>
      <c r="DK14">
        <v>10</v>
      </c>
      <c r="DL14" t="s">
        <v>463</v>
      </c>
      <c r="DN14">
        <v>10</v>
      </c>
      <c r="DO14" t="s">
        <v>512</v>
      </c>
      <c r="DQ14" t="s">
        <v>17</v>
      </c>
      <c r="DR14">
        <v>0</v>
      </c>
    </row>
    <row r="15" spans="2:122" x14ac:dyDescent="0.3">
      <c r="C15" s="5"/>
      <c r="D15" t="str">
        <f t="shared" ca="1" si="5"/>
        <v>Emerald</v>
      </c>
      <c r="E15" cm="1">
        <f t="array" aca="1" ref="E15" ca="1">_xlfn.IFS(D15="","",D15="Starstone", VLOOKUP($BK$4,$BK$6:$BM$11,3)*AI18*AJ18, D15 = "Tristal", VLOOKUP($BK$14,$BK$16:$BM$24,3)*AI18*AJ18, 1=1, VLOOKUP(AO18,$AX$75:$AZ$174,3)*AI18*AJ18)</f>
        <v>5000</v>
      </c>
      <c r="F15" t="str" cm="1">
        <f t="array" aca="1" ref="F15" ca="1">IF(D15="","",_xlfn.IFS(AH18&gt;5,"Normal",AND(AH18&lt;=5,$BK$28&lt;=4),VLOOKUP(AF18,$BK$29:$BN$39,2),AND(AH18&lt;=5,$BK$28&gt;=9),VLOOKUP(AF18,$BK$29:$BN$39,2), 1=1, "Normal"))</f>
        <v>Normal</v>
      </c>
      <c r="G15" t="str" cm="1">
        <f t="array" aca="1" ref="G15" ca="1">IF(D15="","",_xlfn.IFS(AH18&gt;5, "Normal", AND(AH18&lt;=5, $BL$28&lt;=8, $BL$28&gt;=5), VLOOKUP(AG18,$BK$29:$BN$39,3), AND(AH18&lt;=5,$BK$28&gt;=9), VLOOKUP(AG18,$BK$29:$BN$39,3), 1=1, "Normal"))</f>
        <v>Normal</v>
      </c>
      <c r="H15" t="str">
        <f t="shared" ca="1" si="2"/>
        <v/>
      </c>
      <c r="I15" t="str">
        <f t="shared" ca="1" si="3"/>
        <v/>
      </c>
      <c r="J15" s="5"/>
      <c r="K15" t="str" cm="1">
        <f t="array" aca="1" ref="K15" ca="1">IF(L15="","",(_xlfn.IFS(L15&gt;=15000,VLOOKUP(AW18,$BE$5:$BH$15,4),L15&gt;=4000,VLOOKUP(AW18,$BE$5:$BH$15,3),L15&gt;=100,VLOOKUP(AW18,$BE$5:$BH$15,2))))</f>
        <v>Pendant</v>
      </c>
      <c r="L15">
        <f t="shared" ca="1" si="4"/>
        <v>5000</v>
      </c>
      <c r="M15" s="5"/>
      <c r="N15" t="str" cm="1">
        <f t="array" aca="1" ref="N15" ca="1">_xlfn.IFS(O15="Potion",VLOOKUP(AB15,$CF$5:$CG$104,2),O15="Ring",VLOOKUP(AB15,$CI$5:$CJ$104,2),O15="Scroll",VLOOKUP(AB15,$CL$5:$CM$104,2),O15="Misc. Magical Item",VLOOKUP(AB15,$CO$5:$CP$104,2),O15="Wand, Staff, or Rod",VLOOKUP(AB15,$CR$5:$CS$104,2),O15="","",1=1,_xlfn.CONCAT("*See ",O15," tab*"))</f>
        <v/>
      </c>
      <c r="O15" t="str">
        <f t="shared" ca="1" si="6"/>
        <v/>
      </c>
      <c r="P15" t="str" cm="1">
        <f t="array" aca="1" ref="P15" ca="1">_xlfn.IFS(O15="Sword", VLOOKUP(R15,concat!$A$2:$B$101, 2), 'Lair Treasures'!O15="Armor or Shield", VLOOKUP(Q15, concat!$G$2:$H$21,2), 'Lair Treasures'!O15="Misc. Weapon", VLOOKUP(Q15, concat!$J$2:$K$21,2), 'Lair Treasures'!O15="Missile Weapon or Missile", VLOOKUP(Q15, concat!$M$2:$N$21,2), 'Lair Treasures'!N15= "Spell Scroll", VLOOKUP(Q15, concat!$D$2:$E$21,2), 1=1, "")</f>
        <v/>
      </c>
      <c r="Q15" s="1">
        <f t="shared" ca="1" si="7"/>
        <v>13</v>
      </c>
      <c r="R15" s="1">
        <f t="shared" ca="1" si="8"/>
        <v>13</v>
      </c>
      <c r="Z15">
        <f t="shared" ca="1" si="9"/>
        <v>18</v>
      </c>
      <c r="AA15">
        <f t="shared" ca="1" si="10"/>
        <v>46</v>
      </c>
      <c r="AB15">
        <f t="shared" ca="1" si="11"/>
        <v>41</v>
      </c>
      <c r="AC15">
        <f t="shared" ca="1" si="12"/>
        <v>58</v>
      </c>
      <c r="AD15">
        <f t="shared" ca="1" si="13"/>
        <v>-3</v>
      </c>
      <c r="AF15" s="1">
        <f t="shared" ca="1" si="16"/>
        <v>9</v>
      </c>
      <c r="AG15" s="1">
        <f t="shared" ca="1" si="16"/>
        <v>5</v>
      </c>
      <c r="AH15" s="1">
        <f t="shared" ca="1" si="17"/>
        <v>11</v>
      </c>
      <c r="AI15" s="1">
        <f t="shared" ca="1" si="14"/>
        <v>1</v>
      </c>
      <c r="AJ15" s="1">
        <f t="shared" ca="1" si="15"/>
        <v>1</v>
      </c>
      <c r="AO15" s="1">
        <f t="shared" ca="1" si="18"/>
        <v>49</v>
      </c>
      <c r="AP15" s="1">
        <f t="shared" ca="1" si="19"/>
        <v>61</v>
      </c>
      <c r="AS15" s="1">
        <f t="shared" ca="1" si="20"/>
        <v>11</v>
      </c>
      <c r="AV15" s="1">
        <f t="shared" ca="1" si="21"/>
        <v>4</v>
      </c>
      <c r="AW15" s="1">
        <f t="shared" ca="1" si="22"/>
        <v>6</v>
      </c>
      <c r="AX15" t="s">
        <v>18</v>
      </c>
      <c r="AY15">
        <v>0</v>
      </c>
      <c r="AZ15">
        <v>0</v>
      </c>
      <c r="BA15">
        <v>0</v>
      </c>
      <c r="BB15">
        <f ca="1">RANDBETWEEN(1,4)+RANDBETWEEN(1,4)</f>
        <v>3</v>
      </c>
      <c r="BC15">
        <f ca="1">RANDBETWEEN(1,10)+RANDBETWEEN(1,10)+RANDBETWEEN(1,10)</f>
        <v>19</v>
      </c>
      <c r="BE15">
        <v>10</v>
      </c>
      <c r="BF15" t="s">
        <v>62</v>
      </c>
      <c r="BG15" t="s">
        <v>83</v>
      </c>
      <c r="BH15" t="s">
        <v>84</v>
      </c>
      <c r="BQ15">
        <v>10</v>
      </c>
      <c r="BR15" t="s">
        <v>144</v>
      </c>
      <c r="BT15" t="s">
        <v>17</v>
      </c>
      <c r="BW15">
        <v>10</v>
      </c>
      <c r="BX15" t="s">
        <v>144</v>
      </c>
      <c r="BY15">
        <v>10</v>
      </c>
      <c r="BZ15" t="s">
        <v>150</v>
      </c>
      <c r="CA15">
        <v>10</v>
      </c>
      <c r="CB15" t="s">
        <v>144</v>
      </c>
      <c r="CC15">
        <v>10</v>
      </c>
      <c r="CD15" t="s">
        <v>145</v>
      </c>
      <c r="CF15">
        <v>11</v>
      </c>
      <c r="CG15" t="s">
        <v>165</v>
      </c>
      <c r="CI15">
        <v>11</v>
      </c>
      <c r="CJ15" t="s">
        <v>208</v>
      </c>
      <c r="CL15">
        <v>11</v>
      </c>
      <c r="CM15" t="s">
        <v>238</v>
      </c>
      <c r="CO15">
        <v>11</v>
      </c>
      <c r="CP15" t="s">
        <v>263</v>
      </c>
      <c r="CR15">
        <v>11</v>
      </c>
      <c r="CS15" t="s">
        <v>310</v>
      </c>
      <c r="CU15">
        <v>11</v>
      </c>
      <c r="CV15" t="s">
        <v>340</v>
      </c>
      <c r="CX15">
        <v>11</v>
      </c>
      <c r="CY15">
        <v>1</v>
      </c>
      <c r="DA15">
        <v>11</v>
      </c>
      <c r="DB15">
        <v>1</v>
      </c>
      <c r="DD15">
        <v>11</v>
      </c>
      <c r="DE15">
        <v>1</v>
      </c>
      <c r="DG15">
        <v>11</v>
      </c>
      <c r="DH15" t="s">
        <v>358</v>
      </c>
      <c r="DK15">
        <v>11</v>
      </c>
      <c r="DL15" t="s">
        <v>377</v>
      </c>
      <c r="DN15">
        <v>11</v>
      </c>
      <c r="DO15" t="s">
        <v>513</v>
      </c>
      <c r="DQ15" t="s">
        <v>18</v>
      </c>
      <c r="DR15">
        <v>0</v>
      </c>
    </row>
    <row r="16" spans="2:122" x14ac:dyDescent="0.3">
      <c r="C16" s="5"/>
      <c r="D16" t="str">
        <f t="shared" ca="1" si="5"/>
        <v>Emerald</v>
      </c>
      <c r="E16" cm="1">
        <f t="array" aca="1" ref="E16" ca="1">_xlfn.IFS(D16="","",D16="Starstone", VLOOKUP($BK$4,$BK$6:$BM$11,3)*AI19*AJ19, D16 = "Tristal", VLOOKUP($BK$14,$BK$16:$BM$24,3)*AI19*AJ19, 1=1, VLOOKUP(AO19,$AX$75:$AZ$174,3)*AI19*AJ19)</f>
        <v>5000</v>
      </c>
      <c r="F16" t="str" cm="1">
        <f t="array" aca="1" ref="F16" ca="1">IF(D16="","",_xlfn.IFS(AH19&gt;5,"Normal",AND(AH19&lt;=5,$BK$28&lt;=4),VLOOKUP(AF19,$BK$29:$BN$39,2),AND(AH19&lt;=5,$BK$28&gt;=9),VLOOKUP(AF19,$BK$29:$BN$39,2), 1=1, "Normal"))</f>
        <v>Normal</v>
      </c>
      <c r="G16" t="str" cm="1">
        <f t="array" aca="1" ref="G16" ca="1">IF(D16="","",_xlfn.IFS(AH19&gt;5, "Normal", AND(AH19&lt;=5, $BL$28&lt;=8, $BL$28&gt;=5), VLOOKUP(AG19,$BK$29:$BN$39,3), AND(AH19&lt;=5,$BK$28&gt;=9), VLOOKUP(AG19,$BK$29:$BN$39,3), 1=1, "Normal"))</f>
        <v>Normal</v>
      </c>
      <c r="H16" t="str">
        <f t="shared" ca="1" si="2"/>
        <v/>
      </c>
      <c r="I16" t="str">
        <f t="shared" ca="1" si="3"/>
        <v/>
      </c>
      <c r="J16" s="5"/>
      <c r="K16" t="str" cm="1">
        <f t="array" aca="1" ref="K16" ca="1">IF(L16="","",(_xlfn.IFS(L16&gt;=15000,VLOOKUP(AW19,$BE$5:$BH$15,4),L16&gt;=4000,VLOOKUP(AW19,$BE$5:$BH$15,3),L16&gt;=100,VLOOKUP(AW19,$BE$5:$BH$15,2))))</f>
        <v>Leaf</v>
      </c>
      <c r="L16">
        <f t="shared" ca="1" si="4"/>
        <v>7500</v>
      </c>
      <c r="M16" s="5"/>
      <c r="N16" t="str" cm="1">
        <f t="array" aca="1" ref="N16" ca="1">_xlfn.IFS(O16="Potion",VLOOKUP(AB16,$CF$5:$CG$104,2),O16="Ring",VLOOKUP(AB16,$CI$5:$CJ$104,2),O16="Scroll",VLOOKUP(AB16,$CL$5:$CM$104,2),O16="Misc. Magical Item",VLOOKUP(AB16,$CO$5:$CP$104,2),O16="Wand, Staff, or Rod",VLOOKUP(AB16,$CR$5:$CS$104,2),O16="","",1=1,_xlfn.CONCAT("*See ",O16," tab*"))</f>
        <v/>
      </c>
      <c r="O16" t="str">
        <f t="shared" ca="1" si="6"/>
        <v/>
      </c>
      <c r="P16" t="str" cm="1">
        <f t="array" aca="1" ref="P16" ca="1">_xlfn.IFS(O16="Sword", VLOOKUP(R16,concat!$A$2:$B$101, 2), 'Lair Treasures'!O16="Armor or Shield", VLOOKUP(Q16, concat!$G$2:$H$21,2), 'Lair Treasures'!O16="Misc. Weapon", VLOOKUP(Q16, concat!$J$2:$K$21,2), 'Lair Treasures'!O16="Missile Weapon or Missile", VLOOKUP(Q16, concat!$M$2:$N$21,2), 'Lair Treasures'!N16= "Spell Scroll", VLOOKUP(Q16, concat!$D$2:$E$21,2), 1=1, "")</f>
        <v/>
      </c>
      <c r="Q16" s="1">
        <f t="shared" ca="1" si="7"/>
        <v>16</v>
      </c>
      <c r="R16" s="1">
        <f t="shared" ca="1" si="8"/>
        <v>11</v>
      </c>
      <c r="Z16">
        <f t="shared" ca="1" si="9"/>
        <v>56</v>
      </c>
      <c r="AA16">
        <f t="shared" ca="1" si="10"/>
        <v>48</v>
      </c>
      <c r="AB16">
        <f t="shared" ca="1" si="11"/>
        <v>35</v>
      </c>
      <c r="AC16">
        <f t="shared" ca="1" si="12"/>
        <v>35</v>
      </c>
      <c r="AD16">
        <f t="shared" ca="1" si="13"/>
        <v>-4</v>
      </c>
      <c r="AF16" s="1">
        <f t="shared" ca="1" si="16"/>
        <v>10</v>
      </c>
      <c r="AG16" s="1">
        <f t="shared" ca="1" si="16"/>
        <v>7</v>
      </c>
      <c r="AH16" s="1">
        <f t="shared" ca="1" si="17"/>
        <v>13</v>
      </c>
      <c r="AI16" s="1">
        <f t="shared" ca="1" si="14"/>
        <v>1</v>
      </c>
      <c r="AJ16" s="1">
        <f t="shared" ca="1" si="15"/>
        <v>1</v>
      </c>
      <c r="AO16" s="1">
        <f t="shared" ca="1" si="18"/>
        <v>43</v>
      </c>
      <c r="AP16" s="1">
        <f t="shared" ca="1" si="19"/>
        <v>60</v>
      </c>
      <c r="AS16" s="1">
        <f t="shared" ca="1" si="20"/>
        <v>86</v>
      </c>
      <c r="AV16" s="1">
        <f t="shared" ca="1" si="21"/>
        <v>3</v>
      </c>
      <c r="AW16" s="1">
        <f t="shared" ca="1" si="22"/>
        <v>10</v>
      </c>
      <c r="AX16" t="s">
        <v>19</v>
      </c>
      <c r="AY16">
        <v>0</v>
      </c>
      <c r="AZ16">
        <v>0</v>
      </c>
      <c r="BA16">
        <v>0</v>
      </c>
      <c r="BB16">
        <v>0</v>
      </c>
      <c r="BC16">
        <v>0</v>
      </c>
      <c r="BK16">
        <v>1</v>
      </c>
      <c r="BL16" t="s">
        <v>110</v>
      </c>
      <c r="BM16">
        <v>25000</v>
      </c>
      <c r="BQ16">
        <v>11</v>
      </c>
      <c r="BR16" t="s">
        <v>144</v>
      </c>
      <c r="BT16" t="s">
        <v>18</v>
      </c>
      <c r="BW16">
        <v>11</v>
      </c>
      <c r="BX16" t="s">
        <v>144</v>
      </c>
      <c r="BY16">
        <v>11</v>
      </c>
      <c r="BZ16" t="s">
        <v>150</v>
      </c>
      <c r="CA16">
        <v>11</v>
      </c>
      <c r="CB16" t="s">
        <v>144</v>
      </c>
      <c r="CC16">
        <v>11</v>
      </c>
      <c r="CD16" t="s">
        <v>145</v>
      </c>
      <c r="CF16">
        <v>12</v>
      </c>
      <c r="CG16" t="s">
        <v>165</v>
      </c>
      <c r="CI16">
        <v>12</v>
      </c>
      <c r="CJ16" t="s">
        <v>208</v>
      </c>
      <c r="CL16">
        <v>12</v>
      </c>
      <c r="CM16" t="s">
        <v>238</v>
      </c>
      <c r="CO16">
        <v>12</v>
      </c>
      <c r="CP16" t="s">
        <v>263</v>
      </c>
      <c r="CR16">
        <v>12</v>
      </c>
      <c r="CS16" t="s">
        <v>310</v>
      </c>
      <c r="CU16">
        <v>12</v>
      </c>
      <c r="CV16" t="s">
        <v>340</v>
      </c>
      <c r="CX16">
        <v>12</v>
      </c>
      <c r="CY16">
        <v>1</v>
      </c>
      <c r="DA16">
        <v>12</v>
      </c>
      <c r="DB16">
        <v>1</v>
      </c>
      <c r="DD16">
        <v>12</v>
      </c>
      <c r="DE16">
        <v>1</v>
      </c>
      <c r="DG16">
        <v>12</v>
      </c>
      <c r="DH16" t="s">
        <v>359</v>
      </c>
      <c r="DK16">
        <v>12</v>
      </c>
      <c r="DL16" t="s">
        <v>464</v>
      </c>
      <c r="DN16">
        <v>12</v>
      </c>
      <c r="DO16" t="s">
        <v>204</v>
      </c>
      <c r="DQ16" t="s">
        <v>19</v>
      </c>
      <c r="DR16">
        <v>0</v>
      </c>
    </row>
    <row r="17" spans="3:122" x14ac:dyDescent="0.3">
      <c r="C17" s="5"/>
      <c r="D17" t="str">
        <f t="shared" ca="1" si="5"/>
        <v>Jacinth</v>
      </c>
      <c r="E17" cm="1">
        <f t="array" aca="1" ref="E17" ca="1">_xlfn.IFS(D17="","",D17="Starstone", VLOOKUP($BK$4,$BK$6:$BM$11,3)*AI20*AJ20, D17 = "Tristal", VLOOKUP($BK$14,$BK$16:$BM$24,3)*AI20*AJ20, 1=1, VLOOKUP(AO20,$AX$75:$AZ$174,3)*AI20*AJ20)</f>
        <v>10000</v>
      </c>
      <c r="F17" t="str" cm="1">
        <f t="array" aca="1" ref="F17" ca="1">IF(D17="","",_xlfn.IFS(AH20&gt;5,"Normal",AND(AH20&lt;=5,$BK$28&lt;=4),VLOOKUP(AF20,$BK$29:$BN$39,2),AND(AH20&lt;=5,$BK$28&gt;=9),VLOOKUP(AF20,$BK$29:$BN$39,2), 1=1, "Normal"))</f>
        <v>Normal</v>
      </c>
      <c r="G17" t="str" cm="1">
        <f t="array" aca="1" ref="G17" ca="1">IF(D17="","",_xlfn.IFS(AH20&gt;5, "Normal", AND(AH20&lt;=5, $BL$28&lt;=8, $BL$28&gt;=5), VLOOKUP(AG20,$BK$29:$BN$39,3), AND(AH20&lt;=5,$BK$28&gt;=9), VLOOKUP(AG20,$BK$29:$BN$39,3), 1=1, "Normal"))</f>
        <v>Normal</v>
      </c>
      <c r="H17" t="str">
        <f t="shared" ca="1" si="2"/>
        <v/>
      </c>
      <c r="I17" t="str">
        <f t="shared" ca="1" si="3"/>
        <v/>
      </c>
      <c r="J17" s="5"/>
      <c r="K17" t="str" cm="1">
        <f t="array" aca="1" ref="K17" ca="1">IF(L17="","",(_xlfn.IFS(L17&gt;=15000,VLOOKUP(AW20,$BE$5:$BH$15,4),L17&gt;=4000,VLOOKUP(AW20,$BE$5:$BH$15,3),L17&gt;=100,VLOOKUP(AW20,$BE$5:$BH$15,2))))</f>
        <v/>
      </c>
      <c r="L17" t="str">
        <f t="shared" ca="1" si="4"/>
        <v/>
      </c>
      <c r="M17" s="5"/>
      <c r="N17" t="str" cm="1">
        <f t="array" aca="1" ref="N17" ca="1">_xlfn.IFS(O17="Potion",VLOOKUP(AB17,$CF$5:$CG$104,2),O17="Ring",VLOOKUP(AB17,$CI$5:$CJ$104,2),O17="Scroll",VLOOKUP(AB17,$CL$5:$CM$104,2),O17="Misc. Magical Item",VLOOKUP(AB17,$CO$5:$CP$104,2),O17="Wand, Staff, or Rod",VLOOKUP(AB17,$CR$5:$CS$104,2),O17="","",1=1,_xlfn.CONCAT("*See ",O17," tab*"))</f>
        <v/>
      </c>
      <c r="O17" t="str">
        <f t="shared" ca="1" si="6"/>
        <v/>
      </c>
      <c r="P17" t="str" cm="1">
        <f t="array" aca="1" ref="P17" ca="1">_xlfn.IFS(O17="Sword", VLOOKUP(R17,concat!$A$2:$B$101, 2), 'Lair Treasures'!O17="Armor or Shield", VLOOKUP(Q17, concat!$G$2:$H$21,2), 'Lair Treasures'!O17="Misc. Weapon", VLOOKUP(Q17, concat!$J$2:$K$21,2), 'Lair Treasures'!O17="Missile Weapon or Missile", VLOOKUP(Q17, concat!$M$2:$N$21,2), 'Lair Treasures'!N17= "Spell Scroll", VLOOKUP(Q17, concat!$D$2:$E$21,2), 1=1, "")</f>
        <v/>
      </c>
      <c r="Q17" s="1">
        <f t="shared" ca="1" si="7"/>
        <v>1</v>
      </c>
      <c r="R17" s="1">
        <f t="shared" ca="1" si="8"/>
        <v>72</v>
      </c>
      <c r="Z17">
        <f t="shared" ca="1" si="9"/>
        <v>43</v>
      </c>
      <c r="AA17">
        <f t="shared" ca="1" si="10"/>
        <v>24</v>
      </c>
      <c r="AB17">
        <f t="shared" ca="1" si="11"/>
        <v>84</v>
      </c>
      <c r="AC17">
        <f t="shared" ca="1" si="12"/>
        <v>68</v>
      </c>
      <c r="AD17">
        <f t="shared" ca="1" si="13"/>
        <v>-5</v>
      </c>
      <c r="AF17" s="1">
        <f t="shared" ca="1" si="16"/>
        <v>1</v>
      </c>
      <c r="AG17" s="1">
        <f t="shared" ca="1" si="16"/>
        <v>10</v>
      </c>
      <c r="AH17" s="1">
        <f t="shared" ca="1" si="17"/>
        <v>86</v>
      </c>
      <c r="AI17" s="1">
        <f t="shared" ca="1" si="14"/>
        <v>1</v>
      </c>
      <c r="AJ17" s="1">
        <f t="shared" ca="1" si="15"/>
        <v>1</v>
      </c>
      <c r="AO17" s="1">
        <f t="shared" ca="1" si="18"/>
        <v>91</v>
      </c>
      <c r="AP17" s="1">
        <f t="shared" ca="1" si="19"/>
        <v>59</v>
      </c>
      <c r="AS17" s="1">
        <f t="shared" ca="1" si="20"/>
        <v>65</v>
      </c>
      <c r="AV17" s="1">
        <f t="shared" ca="1" si="21"/>
        <v>2</v>
      </c>
      <c r="AW17" s="1">
        <f t="shared" ca="1" si="22"/>
        <v>8</v>
      </c>
      <c r="AX17" t="s">
        <v>20</v>
      </c>
      <c r="AY17">
        <v>0</v>
      </c>
      <c r="AZ17">
        <v>0</v>
      </c>
      <c r="BA17">
        <v>0</v>
      </c>
      <c r="BB17">
        <v>0</v>
      </c>
      <c r="BC17">
        <v>0</v>
      </c>
      <c r="BH17" t="s">
        <v>102</v>
      </c>
      <c r="BK17">
        <v>2</v>
      </c>
      <c r="BL17" t="s">
        <v>110</v>
      </c>
      <c r="BM17">
        <v>50000</v>
      </c>
      <c r="BQ17">
        <v>12</v>
      </c>
      <c r="BR17" t="s">
        <v>144</v>
      </c>
      <c r="BT17" t="s">
        <v>19</v>
      </c>
      <c r="BW17">
        <v>12</v>
      </c>
      <c r="BX17" t="s">
        <v>144</v>
      </c>
      <c r="BY17">
        <v>12</v>
      </c>
      <c r="BZ17" t="s">
        <v>150</v>
      </c>
      <c r="CA17">
        <v>12</v>
      </c>
      <c r="CB17" t="s">
        <v>144</v>
      </c>
      <c r="CC17">
        <v>12</v>
      </c>
      <c r="CD17" t="s">
        <v>145</v>
      </c>
      <c r="CF17">
        <v>13</v>
      </c>
      <c r="CG17" t="s">
        <v>166</v>
      </c>
      <c r="CI17">
        <v>13</v>
      </c>
      <c r="CJ17" t="s">
        <v>208</v>
      </c>
      <c r="CL17">
        <v>13</v>
      </c>
      <c r="CM17" t="s">
        <v>238</v>
      </c>
      <c r="CO17">
        <v>13</v>
      </c>
      <c r="CP17" t="s">
        <v>264</v>
      </c>
      <c r="CR17">
        <v>13</v>
      </c>
      <c r="CS17" t="s">
        <v>310</v>
      </c>
      <c r="CU17">
        <v>13</v>
      </c>
      <c r="CV17" t="s">
        <v>340</v>
      </c>
      <c r="CX17">
        <v>13</v>
      </c>
      <c r="CY17">
        <v>1</v>
      </c>
      <c r="DA17">
        <v>13</v>
      </c>
      <c r="DB17">
        <v>1</v>
      </c>
      <c r="DD17">
        <v>13</v>
      </c>
      <c r="DE17">
        <v>1</v>
      </c>
      <c r="DG17">
        <v>13</v>
      </c>
      <c r="DH17" t="s">
        <v>360</v>
      </c>
      <c r="DI17">
        <v>1</v>
      </c>
      <c r="DK17">
        <v>13</v>
      </c>
      <c r="DL17" t="s">
        <v>465</v>
      </c>
      <c r="DN17">
        <v>13</v>
      </c>
      <c r="DO17" t="s">
        <v>514</v>
      </c>
      <c r="DQ17" t="s">
        <v>20</v>
      </c>
      <c r="DR17">
        <f ca="1">RANDBETWEEN(1,4)+RANDBETWEEN(1,4)</f>
        <v>4</v>
      </c>
    </row>
    <row r="18" spans="3:122" x14ac:dyDescent="0.3">
      <c r="C18" s="5"/>
      <c r="D18" t="str">
        <f t="shared" ca="1" si="5"/>
        <v>Aquamarine</v>
      </c>
      <c r="E18" cm="1">
        <f t="array" aca="1" ref="E18" ca="1">_xlfn.IFS(D18="","",D18="Starstone", VLOOKUP($BK$4,$BK$6:$BM$11,3)*AI21*AJ21, D18 = "Tristal", VLOOKUP($BK$14,$BK$16:$BM$24,3)*AI21*AJ21, 1=1, VLOOKUP(AO21,$AX$75:$AZ$174,3)*AI21*AJ21)</f>
        <v>500</v>
      </c>
      <c r="F18" t="str" cm="1">
        <f t="array" aca="1" ref="F18" ca="1">IF(D18="","",_xlfn.IFS(AH21&gt;5,"Normal",AND(AH21&lt;=5,$BK$28&lt;=4),VLOOKUP(AF21,$BK$29:$BN$39,2),AND(AH21&lt;=5,$BK$28&gt;=9),VLOOKUP(AF21,$BK$29:$BN$39,2), 1=1, "Normal"))</f>
        <v>Normal</v>
      </c>
      <c r="G18" t="str" cm="1">
        <f t="array" aca="1" ref="G18" ca="1">IF(D18="","",_xlfn.IFS(AH21&gt;5, "Normal", AND(AH21&lt;=5, $BL$28&lt;=8, $BL$28&gt;=5), VLOOKUP(AG21,$BK$29:$BN$39,3), AND(AH21&lt;=5,$BK$28&gt;=9), VLOOKUP(AG21,$BK$29:$BN$39,3), 1=1, "Normal"))</f>
        <v>Normal</v>
      </c>
      <c r="H18" t="str">
        <f t="shared" ca="1" si="2"/>
        <v/>
      </c>
      <c r="I18" t="str">
        <f t="shared" ca="1" si="3"/>
        <v/>
      </c>
      <c r="J18" s="5"/>
      <c r="K18" t="str" cm="1">
        <f t="array" aca="1" ref="K18" ca="1">IF(L18="","",(_xlfn.IFS(L18&gt;=15000,VLOOKUP(AW21,$BE$5:$BH$15,4),L18&gt;=4000,VLOOKUP(AW21,$BE$5:$BH$15,3),L18&gt;=100,VLOOKUP(AW21,$BE$5:$BH$15,2))))</f>
        <v/>
      </c>
      <c r="L18" t="str">
        <f t="shared" ca="1" si="4"/>
        <v/>
      </c>
      <c r="M18" s="5"/>
      <c r="N18" t="str" cm="1">
        <f t="array" aca="1" ref="N18" ca="1">_xlfn.IFS(O18="Potion",VLOOKUP(AB18,$CF$5:$CG$104,2),O18="Ring",VLOOKUP(AB18,$CI$5:$CJ$104,2),O18="Scroll",VLOOKUP(AB18,$CL$5:$CM$104,2),O18="Misc. Magical Item",VLOOKUP(AB18,$CO$5:$CP$104,2),O18="Wand, Staff, or Rod",VLOOKUP(AB18,$CR$5:$CS$104,2),O18="","",1=1,_xlfn.CONCAT("*See ",O18," tab*"))</f>
        <v/>
      </c>
      <c r="O18" t="str">
        <f t="shared" ca="1" si="6"/>
        <v/>
      </c>
      <c r="P18" t="str" cm="1">
        <f t="array" aca="1" ref="P18" ca="1">_xlfn.IFS(O18="Sword", VLOOKUP(R18,concat!$A$2:$B$101, 2), 'Lair Treasures'!O18="Armor or Shield", VLOOKUP(Q18, concat!$G$2:$H$21,2), 'Lair Treasures'!O18="Misc. Weapon", VLOOKUP(Q18, concat!$J$2:$K$21,2), 'Lair Treasures'!O18="Missile Weapon or Missile", VLOOKUP(Q18, concat!$M$2:$N$21,2), 'Lair Treasures'!N18= "Spell Scroll", VLOOKUP(Q18, concat!$D$2:$E$21,2), 1=1, "")</f>
        <v/>
      </c>
      <c r="Q18" s="1">
        <f t="shared" ca="1" si="7"/>
        <v>17</v>
      </c>
      <c r="R18" s="1">
        <f t="shared" ca="1" si="8"/>
        <v>72</v>
      </c>
      <c r="Z18">
        <f t="shared" ca="1" si="9"/>
        <v>58</v>
      </c>
      <c r="AA18">
        <f t="shared" ca="1" si="10"/>
        <v>34</v>
      </c>
      <c r="AB18">
        <f t="shared" ca="1" si="11"/>
        <v>95</v>
      </c>
      <c r="AC18">
        <f t="shared" ca="1" si="12"/>
        <v>56</v>
      </c>
      <c r="AD18">
        <f t="shared" ca="1" si="13"/>
        <v>-6</v>
      </c>
      <c r="AF18" s="1">
        <f t="shared" ca="1" si="16"/>
        <v>7</v>
      </c>
      <c r="AG18" s="1">
        <f t="shared" ca="1" si="16"/>
        <v>2</v>
      </c>
      <c r="AH18" s="1">
        <f t="shared" ca="1" si="17"/>
        <v>64</v>
      </c>
      <c r="AI18" s="1">
        <f t="shared" ca="1" si="14"/>
        <v>1</v>
      </c>
      <c r="AJ18" s="1">
        <f t="shared" ca="1" si="15"/>
        <v>1</v>
      </c>
      <c r="AO18" s="1">
        <f t="shared" ca="1" si="18"/>
        <v>87</v>
      </c>
      <c r="AP18" s="1">
        <f t="shared" ca="1" si="19"/>
        <v>58</v>
      </c>
      <c r="AS18" s="1">
        <f t="shared" ca="1" si="20"/>
        <v>48</v>
      </c>
      <c r="AV18" s="1">
        <f t="shared" ca="1" si="21"/>
        <v>1</v>
      </c>
      <c r="AW18" s="1">
        <f t="shared" ca="1" si="22"/>
        <v>9</v>
      </c>
      <c r="AX18" t="s">
        <v>21</v>
      </c>
      <c r="AY18">
        <v>0</v>
      </c>
      <c r="AZ18">
        <v>0</v>
      </c>
      <c r="BA18">
        <v>0</v>
      </c>
      <c r="BB18">
        <v>0</v>
      </c>
      <c r="BC18">
        <v>0</v>
      </c>
      <c r="BE18">
        <v>1</v>
      </c>
      <c r="BF18" t="s">
        <v>85</v>
      </c>
      <c r="BG18">
        <f ca="1">RANDBETWEEN(1,100)*10</f>
        <v>40</v>
      </c>
      <c r="BK18">
        <v>3</v>
      </c>
      <c r="BL18" t="s">
        <v>110</v>
      </c>
      <c r="BM18">
        <v>100000</v>
      </c>
      <c r="BQ18">
        <v>13</v>
      </c>
      <c r="BR18" t="s">
        <v>144</v>
      </c>
      <c r="BT18" t="s">
        <v>20</v>
      </c>
      <c r="BW18">
        <v>13</v>
      </c>
      <c r="BX18" t="s">
        <v>144</v>
      </c>
      <c r="BY18">
        <v>13</v>
      </c>
      <c r="BZ18" t="s">
        <v>150</v>
      </c>
      <c r="CA18">
        <v>13</v>
      </c>
      <c r="CB18" t="s">
        <v>144</v>
      </c>
      <c r="CC18">
        <v>13</v>
      </c>
      <c r="CD18" t="s">
        <v>145</v>
      </c>
      <c r="CF18">
        <v>14</v>
      </c>
      <c r="CG18" t="s">
        <v>166</v>
      </c>
      <c r="CI18">
        <v>14</v>
      </c>
      <c r="CJ18" t="s">
        <v>209</v>
      </c>
      <c r="CL18">
        <v>14</v>
      </c>
      <c r="CM18" t="s">
        <v>239</v>
      </c>
      <c r="CO18">
        <v>14</v>
      </c>
      <c r="CP18" t="s">
        <v>264</v>
      </c>
      <c r="CR18">
        <v>14</v>
      </c>
      <c r="CS18" t="s">
        <v>310</v>
      </c>
      <c r="CU18">
        <v>14</v>
      </c>
      <c r="CV18" t="s">
        <v>340</v>
      </c>
      <c r="CX18">
        <v>14</v>
      </c>
      <c r="CY18">
        <v>1</v>
      </c>
      <c r="DA18">
        <v>14</v>
      </c>
      <c r="DB18">
        <v>1</v>
      </c>
      <c r="DD18">
        <v>14</v>
      </c>
      <c r="DE18">
        <v>1</v>
      </c>
      <c r="DG18">
        <v>14</v>
      </c>
      <c r="DH18" t="s">
        <v>361</v>
      </c>
      <c r="DI18">
        <v>2</v>
      </c>
      <c r="DK18">
        <v>14</v>
      </c>
      <c r="DL18" t="s">
        <v>466</v>
      </c>
      <c r="DN18">
        <v>14</v>
      </c>
      <c r="DO18" t="s">
        <v>515</v>
      </c>
      <c r="DQ18" t="s">
        <v>21</v>
      </c>
      <c r="DR18">
        <f ca="1">RANDBETWEEN(1,4)</f>
        <v>1</v>
      </c>
    </row>
    <row r="19" spans="3:122" x14ac:dyDescent="0.3">
      <c r="C19" s="5"/>
      <c r="D19" t="str">
        <f t="shared" ca="1" si="5"/>
        <v>Emerald</v>
      </c>
      <c r="E19" cm="1">
        <f t="array" aca="1" ref="E19" ca="1">_xlfn.IFS(D19="","",D19="Starstone", VLOOKUP($BK$4,$BK$6:$BM$11,3)*AI22*AJ22, D19 = "Tristal", VLOOKUP($BK$14,$BK$16:$BM$24,3)*AI22*AJ22, 1=1, VLOOKUP(AO22,$AX$75:$AZ$174,3)*AI22*AJ22)</f>
        <v>5000</v>
      </c>
      <c r="F19" t="str" cm="1">
        <f t="array" aca="1" ref="F19" ca="1">IF(D19="","",_xlfn.IFS(AH22&gt;5,"Normal",AND(AH22&lt;=5,$BK$28&lt;=4),VLOOKUP(AF22,$BK$29:$BN$39,2),AND(AH22&lt;=5,$BK$28&gt;=9),VLOOKUP(AF22,$BK$29:$BN$39,2), 1=1, "Normal"))</f>
        <v>Normal</v>
      </c>
      <c r="G19" t="str" cm="1">
        <f t="array" aca="1" ref="G19" ca="1">IF(D19="","",_xlfn.IFS(AH22&gt;5, "Normal", AND(AH22&lt;=5, $BL$28&lt;=8, $BL$28&gt;=5), VLOOKUP(AG22,$BK$29:$BN$39,3), AND(AH22&lt;=5,$BK$28&gt;=9), VLOOKUP(AG22,$BK$29:$BN$39,3), 1=1, "Normal"))</f>
        <v>Normal</v>
      </c>
      <c r="H19" t="str">
        <f t="shared" ca="1" si="2"/>
        <v/>
      </c>
      <c r="I19" t="str">
        <f t="shared" ca="1" si="3"/>
        <v/>
      </c>
      <c r="J19" s="5"/>
      <c r="K19" t="str" cm="1">
        <f t="array" aca="1" ref="K19" ca="1">IF(L19="","",(_xlfn.IFS(L19&gt;=15000,VLOOKUP(AW22,$BE$5:$BH$15,4),L19&gt;=4000,VLOOKUP(AW22,$BE$5:$BH$15,3),L19&gt;=100,VLOOKUP(AW22,$BE$5:$BH$15,2))))</f>
        <v/>
      </c>
      <c r="L19" t="str">
        <f t="shared" ca="1" si="4"/>
        <v/>
      </c>
      <c r="M19" s="5"/>
      <c r="N19" t="str" cm="1">
        <f t="array" aca="1" ref="N19" ca="1">_xlfn.IFS(O19="Potion",VLOOKUP(AB19,$CF$5:$CG$104,2),O19="Ring",VLOOKUP(AB19,$CI$5:$CJ$104,2),O19="Scroll",VLOOKUP(AB19,$CL$5:$CM$104,2),O19="Misc. Magical Item",VLOOKUP(AB19,$CO$5:$CP$104,2),O19="Wand, Staff, or Rod",VLOOKUP(AB19,$CR$5:$CS$104,2),O19="","",1=1,_xlfn.CONCAT("*See ",O19," tab*"))</f>
        <v/>
      </c>
      <c r="O19" t="str">
        <f t="shared" ca="1" si="6"/>
        <v/>
      </c>
      <c r="P19" t="str" cm="1">
        <f t="array" aca="1" ref="P19" ca="1">_xlfn.IFS(O19="Sword", VLOOKUP(R19,concat!$A$2:$B$101, 2), 'Lair Treasures'!O19="Armor or Shield", VLOOKUP(Q19, concat!$G$2:$H$21,2), 'Lair Treasures'!O19="Misc. Weapon", VLOOKUP(Q19, concat!$J$2:$K$21,2), 'Lair Treasures'!O19="Missile Weapon or Missile", VLOOKUP(Q19, concat!$M$2:$N$21,2), 'Lair Treasures'!N19= "Spell Scroll", VLOOKUP(Q19, concat!$D$2:$E$21,2), 1=1, "")</f>
        <v/>
      </c>
      <c r="Q19" s="1">
        <f t="shared" ca="1" si="7"/>
        <v>6</v>
      </c>
      <c r="R19" s="1">
        <f t="shared" ca="1" si="8"/>
        <v>23</v>
      </c>
      <c r="Z19">
        <f t="shared" ca="1" si="9"/>
        <v>95</v>
      </c>
      <c r="AA19">
        <f t="shared" ca="1" si="10"/>
        <v>46</v>
      </c>
      <c r="AB19">
        <f t="shared" ca="1" si="11"/>
        <v>37</v>
      </c>
      <c r="AC19">
        <f t="shared" ca="1" si="12"/>
        <v>54</v>
      </c>
      <c r="AD19">
        <f t="shared" ca="1" si="13"/>
        <v>-7</v>
      </c>
      <c r="AF19" s="1">
        <f t="shared" ca="1" si="16"/>
        <v>3</v>
      </c>
      <c r="AG19" s="1">
        <f t="shared" ca="1" si="16"/>
        <v>7</v>
      </c>
      <c r="AH19" s="1">
        <f t="shared" ca="1" si="17"/>
        <v>23</v>
      </c>
      <c r="AI19" s="1">
        <f t="shared" ca="1" si="14"/>
        <v>1</v>
      </c>
      <c r="AJ19" s="1">
        <f t="shared" ca="1" si="15"/>
        <v>1</v>
      </c>
      <c r="AO19" s="1">
        <f t="shared" ca="1" si="18"/>
        <v>84</v>
      </c>
      <c r="AP19" s="1">
        <f t="shared" ca="1" si="19"/>
        <v>57</v>
      </c>
      <c r="AS19" s="1">
        <f t="shared" ca="1" si="20"/>
        <v>59</v>
      </c>
      <c r="AV19" s="1">
        <f t="shared" ca="1" si="21"/>
        <v>0</v>
      </c>
      <c r="AW19" s="1">
        <f t="shared" ca="1" si="22"/>
        <v>7</v>
      </c>
      <c r="BE19">
        <v>2</v>
      </c>
      <c r="BF19" t="s">
        <v>85</v>
      </c>
      <c r="BG19">
        <f t="shared" ref="BG19:BG27" ca="1" si="23">RANDBETWEEN(1,100)*10</f>
        <v>850</v>
      </c>
      <c r="BK19">
        <v>4</v>
      </c>
      <c r="BL19" t="s">
        <v>111</v>
      </c>
      <c r="BM19">
        <v>25000</v>
      </c>
      <c r="BQ19">
        <v>14</v>
      </c>
      <c r="BR19" t="s">
        <v>144</v>
      </c>
      <c r="BT19" t="s">
        <v>21</v>
      </c>
      <c r="BW19">
        <v>14</v>
      </c>
      <c r="BX19" t="s">
        <v>144</v>
      </c>
      <c r="BY19">
        <v>14</v>
      </c>
      <c r="BZ19" t="s">
        <v>150</v>
      </c>
      <c r="CA19">
        <v>14</v>
      </c>
      <c r="CB19" t="s">
        <v>144</v>
      </c>
      <c r="CC19">
        <v>14</v>
      </c>
      <c r="CD19" t="s">
        <v>145</v>
      </c>
      <c r="CF19">
        <v>15</v>
      </c>
      <c r="CG19" t="s">
        <v>167</v>
      </c>
      <c r="CI19">
        <v>15</v>
      </c>
      <c r="CJ19" t="s">
        <v>209</v>
      </c>
      <c r="CL19">
        <v>15</v>
      </c>
      <c r="CM19" t="s">
        <v>240</v>
      </c>
      <c r="CO19">
        <v>15</v>
      </c>
      <c r="CP19" t="s">
        <v>265</v>
      </c>
      <c r="CR19">
        <v>15</v>
      </c>
      <c r="CS19" t="s">
        <v>311</v>
      </c>
      <c r="CU19">
        <v>15</v>
      </c>
      <c r="CV19" t="s">
        <v>340</v>
      </c>
      <c r="CX19">
        <v>15</v>
      </c>
      <c r="CY19">
        <v>1</v>
      </c>
      <c r="DA19">
        <v>15</v>
      </c>
      <c r="DB19">
        <v>1</v>
      </c>
      <c r="DD19">
        <v>15</v>
      </c>
      <c r="DE19">
        <v>1</v>
      </c>
      <c r="DG19">
        <v>15</v>
      </c>
      <c r="DH19" t="s">
        <v>362</v>
      </c>
      <c r="DK19">
        <v>15</v>
      </c>
      <c r="DL19" t="s">
        <v>467</v>
      </c>
      <c r="DN19">
        <v>15</v>
      </c>
      <c r="DO19" t="s">
        <v>516</v>
      </c>
    </row>
    <row r="20" spans="3:122" x14ac:dyDescent="0.3">
      <c r="C20" s="5"/>
      <c r="D20" t="str">
        <f t="shared" ca="1" si="5"/>
        <v>Emerald</v>
      </c>
      <c r="E20" cm="1">
        <f t="array" aca="1" ref="E20" ca="1">_xlfn.IFS(D20="","",D20="Starstone", VLOOKUP($BK$4,$BK$6:$BM$11,3)*AI23*AJ23, D20 = "Tristal", VLOOKUP($BK$14,$BK$16:$BM$24,3)*AI23*AJ23, 1=1, VLOOKUP(AO23,$AX$75:$AZ$174,3)*AI23*AJ23)</f>
        <v>5000</v>
      </c>
      <c r="F20" t="str" cm="1">
        <f t="array" aca="1" ref="F20" ca="1">IF(D20="","",_xlfn.IFS(AH23&gt;5,"Normal",AND(AH23&lt;=5,$BK$28&lt;=4),VLOOKUP(AF23,$BK$29:$BN$39,2),AND(AH23&lt;=5,$BK$28&gt;=9),VLOOKUP(AF23,$BK$29:$BN$39,2), 1=1, "Normal"))</f>
        <v>Normal</v>
      </c>
      <c r="G20" t="str" cm="1">
        <f t="array" aca="1" ref="G20" ca="1">IF(D20="","",_xlfn.IFS(AH23&gt;5, "Normal", AND(AH23&lt;=5, $BL$28&lt;=8, $BL$28&gt;=5), VLOOKUP(AG23,$BK$29:$BN$39,3), AND(AH23&lt;=5,$BK$28&gt;=9), VLOOKUP(AG23,$BK$29:$BN$39,3), 1=1, "Normal"))</f>
        <v>Normal</v>
      </c>
      <c r="H20" t="str">
        <f t="shared" ca="1" si="2"/>
        <v/>
      </c>
      <c r="I20" t="str">
        <f t="shared" ca="1" si="3"/>
        <v/>
      </c>
      <c r="J20" s="5"/>
      <c r="K20" t="str" cm="1">
        <f t="array" aca="1" ref="K20" ca="1">IF(L20="","",(_xlfn.IFS(L20&gt;=15000,VLOOKUP(AW23,$BE$5:$BH$15,4),L20&gt;=4000,VLOOKUP(AW23,$BE$5:$BH$15,3),L20&gt;=100,VLOOKUP(AW23,$BE$5:$BH$15,2))))</f>
        <v/>
      </c>
      <c r="L20" t="str">
        <f t="shared" ca="1" si="4"/>
        <v/>
      </c>
      <c r="M20" s="5"/>
      <c r="N20" t="str" cm="1">
        <f t="array" aca="1" ref="N20" ca="1">_xlfn.IFS(O20="Potion",VLOOKUP(AB20,$CF$5:$CG$104,2),O20="Ring",VLOOKUP(AB20,$CI$5:$CJ$104,2),O20="Scroll",VLOOKUP(AB20,$CL$5:$CM$104,2),O20="Misc. Magical Item",VLOOKUP(AB20,$CO$5:$CP$104,2),O20="Wand, Staff, or Rod",VLOOKUP(AB20,$CR$5:$CS$104,2),O20="","",1=1,_xlfn.CONCAT("*See ",O20," tab*"))</f>
        <v/>
      </c>
      <c r="O20" t="str">
        <f t="shared" ca="1" si="6"/>
        <v/>
      </c>
      <c r="P20" t="str" cm="1">
        <f t="array" aca="1" ref="P20" ca="1">_xlfn.IFS(O20="Sword", VLOOKUP(R20,concat!$A$2:$B$101, 2), 'Lair Treasures'!O20="Armor or Shield", VLOOKUP(Q20, concat!$G$2:$H$21,2), 'Lair Treasures'!O20="Misc. Weapon", VLOOKUP(Q20, concat!$J$2:$K$21,2), 'Lair Treasures'!O20="Missile Weapon or Missile", VLOOKUP(Q20, concat!$M$2:$N$21,2), 'Lair Treasures'!N20= "Spell Scroll", VLOOKUP(Q20, concat!$D$2:$E$21,2), 1=1, "")</f>
        <v/>
      </c>
      <c r="Q20" s="1">
        <f t="shared" ca="1" si="7"/>
        <v>9</v>
      </c>
      <c r="R20" s="1">
        <f t="shared" ca="1" si="8"/>
        <v>48</v>
      </c>
      <c r="Z20">
        <f t="shared" ca="1" si="9"/>
        <v>11</v>
      </c>
      <c r="AA20">
        <f t="shared" ca="1" si="10"/>
        <v>14</v>
      </c>
      <c r="AB20">
        <f t="shared" ca="1" si="11"/>
        <v>42</v>
      </c>
      <c r="AC20">
        <f t="shared" ca="1" si="12"/>
        <v>12</v>
      </c>
      <c r="AD20">
        <f t="shared" ca="1" si="13"/>
        <v>-8</v>
      </c>
      <c r="AF20" s="1">
        <f t="shared" ca="1" si="16"/>
        <v>5</v>
      </c>
      <c r="AG20" s="1">
        <f t="shared" ca="1" si="16"/>
        <v>10</v>
      </c>
      <c r="AH20" s="1">
        <f t="shared" ca="1" si="17"/>
        <v>52</v>
      </c>
      <c r="AI20" s="1">
        <f t="shared" ca="1" si="14"/>
        <v>1</v>
      </c>
      <c r="AJ20" s="1">
        <f t="shared" ca="1" si="15"/>
        <v>1</v>
      </c>
      <c r="AO20" s="1">
        <f t="shared" ca="1" si="18"/>
        <v>94</v>
      </c>
      <c r="AP20" s="1">
        <f t="shared" ca="1" si="19"/>
        <v>56</v>
      </c>
      <c r="AS20" s="1">
        <f t="shared" ca="1" si="20"/>
        <v>25</v>
      </c>
      <c r="AV20" s="1">
        <f t="shared" ca="1" si="21"/>
        <v>-1</v>
      </c>
      <c r="AW20" s="1">
        <f t="shared" ca="1" si="22"/>
        <v>4</v>
      </c>
      <c r="BE20">
        <v>3</v>
      </c>
      <c r="BF20" t="s">
        <v>85</v>
      </c>
      <c r="BG20">
        <f t="shared" ca="1" si="23"/>
        <v>320</v>
      </c>
      <c r="BK20">
        <v>5</v>
      </c>
      <c r="BL20" t="s">
        <v>111</v>
      </c>
      <c r="BM20">
        <v>50000</v>
      </c>
      <c r="BQ20">
        <v>15</v>
      </c>
      <c r="BR20" t="s">
        <v>144</v>
      </c>
      <c r="BW20">
        <v>15</v>
      </c>
      <c r="BX20" t="s">
        <v>144</v>
      </c>
      <c r="BY20">
        <v>15</v>
      </c>
      <c r="BZ20" t="s">
        <v>150</v>
      </c>
      <c r="CA20">
        <v>15</v>
      </c>
      <c r="CB20" t="s">
        <v>144</v>
      </c>
      <c r="CC20">
        <v>15</v>
      </c>
      <c r="CD20" t="s">
        <v>145</v>
      </c>
      <c r="CF20">
        <v>16</v>
      </c>
      <c r="CG20" t="s">
        <v>167</v>
      </c>
      <c r="CI20">
        <v>16</v>
      </c>
      <c r="CJ20" t="s">
        <v>209</v>
      </c>
      <c r="CL20">
        <v>16</v>
      </c>
      <c r="CM20" t="s">
        <v>240</v>
      </c>
      <c r="CO20">
        <v>16</v>
      </c>
      <c r="CP20" t="s">
        <v>265</v>
      </c>
      <c r="CR20">
        <v>16</v>
      </c>
      <c r="CS20" t="s">
        <v>311</v>
      </c>
      <c r="CU20">
        <v>16</v>
      </c>
      <c r="CV20" t="s">
        <v>340</v>
      </c>
      <c r="CX20">
        <v>16</v>
      </c>
      <c r="CY20">
        <v>1</v>
      </c>
      <c r="DA20">
        <v>16</v>
      </c>
      <c r="DB20">
        <v>1</v>
      </c>
      <c r="DD20">
        <v>16</v>
      </c>
      <c r="DE20">
        <v>1</v>
      </c>
      <c r="DG20">
        <v>16</v>
      </c>
      <c r="DH20" t="s">
        <v>363</v>
      </c>
      <c r="DK20">
        <v>16</v>
      </c>
      <c r="DL20" t="s">
        <v>468</v>
      </c>
      <c r="DN20">
        <v>16</v>
      </c>
      <c r="DO20" t="s">
        <v>517</v>
      </c>
    </row>
    <row r="21" spans="3:122" x14ac:dyDescent="0.3">
      <c r="C21" s="5"/>
      <c r="D21" t="str">
        <f t="shared" ca="1" si="5"/>
        <v>Sapphire</v>
      </c>
      <c r="E21" cm="1">
        <f t="array" aca="1" ref="E21" ca="1">_xlfn.IFS(D21="","",D21="Starstone", VLOOKUP($BK$4,$BK$6:$BM$11,3)*AI24*AJ24, D21 = "Tristal", VLOOKUP($BK$14,$BK$16:$BM$24,3)*AI24*AJ24, 1=1, VLOOKUP(AO24,$AX$75:$AZ$174,3)*AI24*AJ24)</f>
        <v>5000</v>
      </c>
      <c r="F21" t="str" cm="1">
        <f t="array" aca="1" ref="F21" ca="1">IF(D21="","",_xlfn.IFS(AH24&gt;5,"Normal",AND(AH24&lt;=5,$BK$28&lt;=4),VLOOKUP(AF24,$BK$29:$BN$39,2),AND(AH24&lt;=5,$BK$28&gt;=9),VLOOKUP(AF24,$BK$29:$BN$39,2), 1=1, "Normal"))</f>
        <v>Normal</v>
      </c>
      <c r="G21" t="str" cm="1">
        <f t="array" aca="1" ref="G21" ca="1">IF(D21="","",_xlfn.IFS(AH24&gt;5, "Normal", AND(AH24&lt;=5, $BL$28&lt;=8, $BL$28&gt;=5), VLOOKUP(AG24,$BK$29:$BN$39,3), AND(AH24&lt;=5,$BK$28&gt;=9), VLOOKUP(AG24,$BK$29:$BN$39,3), 1=1, "Normal"))</f>
        <v>Normal</v>
      </c>
      <c r="H21" t="str">
        <f t="shared" ca="1" si="2"/>
        <v/>
      </c>
      <c r="I21" t="str">
        <f t="shared" ca="1" si="3"/>
        <v/>
      </c>
      <c r="J21" s="5"/>
      <c r="K21" t="str" cm="1">
        <f t="array" aca="1" ref="K21" ca="1">IF(L21="","",(_xlfn.IFS(L21&gt;=15000,VLOOKUP(AW24,$BE$5:$BH$15,4),L21&gt;=4000,VLOOKUP(AW24,$BE$5:$BH$15,3),L21&gt;=100,VLOOKUP(AW24,$BE$5:$BH$15,2))))</f>
        <v/>
      </c>
      <c r="L21" t="str">
        <f t="shared" ca="1" si="4"/>
        <v/>
      </c>
      <c r="M21" s="5"/>
      <c r="N21" t="str" cm="1">
        <f t="array" aca="1" ref="N21" ca="1">_xlfn.IFS(O21="Potion",VLOOKUP(AB21,$CF$5:$CG$104,2),O21="Ring",VLOOKUP(AB21,$CI$5:$CJ$104,2),O21="Scroll",VLOOKUP(AB21,$CL$5:$CM$104,2),O21="Misc. Magical Item",VLOOKUP(AB21,$CO$5:$CP$104,2),O21="Wand, Staff, or Rod",VLOOKUP(AB21,$CR$5:$CS$104,2),O21="","",1=1,_xlfn.CONCAT("*See ",O21," tab*"))</f>
        <v/>
      </c>
      <c r="O21" t="str">
        <f t="shared" ca="1" si="6"/>
        <v/>
      </c>
      <c r="P21" t="str" cm="1">
        <f t="array" aca="1" ref="P21" ca="1">_xlfn.IFS(O21="Sword", VLOOKUP(R21,concat!$A$2:$B$101, 2), 'Lair Treasures'!O21="Armor or Shield", VLOOKUP(Q21, concat!$G$2:$H$21,2), 'Lair Treasures'!O21="Misc. Weapon", VLOOKUP(Q21, concat!$J$2:$K$21,2), 'Lair Treasures'!O21="Missile Weapon or Missile", VLOOKUP(Q21, concat!$M$2:$N$21,2), 'Lair Treasures'!N21= "Spell Scroll", VLOOKUP(Q21, concat!$D$2:$E$21,2), 1=1, "")</f>
        <v/>
      </c>
      <c r="Q21" s="1">
        <f t="shared" ca="1" si="7"/>
        <v>14</v>
      </c>
      <c r="R21" s="1">
        <f t="shared" ca="1" si="8"/>
        <v>27</v>
      </c>
      <c r="Z21">
        <f t="shared" ca="1" si="9"/>
        <v>31</v>
      </c>
      <c r="AA21">
        <f t="shared" ca="1" si="10"/>
        <v>77</v>
      </c>
      <c r="AB21">
        <f t="shared" ca="1" si="11"/>
        <v>20</v>
      </c>
      <c r="AC21">
        <f t="shared" ca="1" si="12"/>
        <v>84</v>
      </c>
      <c r="AD21">
        <f t="shared" ca="1" si="13"/>
        <v>-9</v>
      </c>
      <c r="AF21" s="1">
        <f t="shared" ca="1" si="16"/>
        <v>7</v>
      </c>
      <c r="AG21" s="1">
        <f t="shared" ca="1" si="16"/>
        <v>8</v>
      </c>
      <c r="AH21" s="1">
        <f t="shared" ca="1" si="17"/>
        <v>51</v>
      </c>
      <c r="AI21" s="1">
        <f t="shared" ca="1" si="14"/>
        <v>1</v>
      </c>
      <c r="AJ21" s="1">
        <f t="shared" ca="1" si="15"/>
        <v>1</v>
      </c>
      <c r="AO21" s="1">
        <f t="shared" ca="1" si="18"/>
        <v>44</v>
      </c>
      <c r="AP21" s="1">
        <f t="shared" ca="1" si="19"/>
        <v>55</v>
      </c>
      <c r="AS21" s="1">
        <f t="shared" ca="1" si="20"/>
        <v>45</v>
      </c>
      <c r="AV21" s="1">
        <f t="shared" ca="1" si="21"/>
        <v>-2</v>
      </c>
      <c r="AW21" s="1">
        <f t="shared" ca="1" si="22"/>
        <v>7</v>
      </c>
      <c r="AY21" t="s">
        <v>0</v>
      </c>
      <c r="AZ21" t="s">
        <v>1</v>
      </c>
      <c r="BA21" t="s">
        <v>2</v>
      </c>
      <c r="BB21" t="s">
        <v>3</v>
      </c>
      <c r="BC21" t="s">
        <v>4</v>
      </c>
      <c r="BE21">
        <v>4</v>
      </c>
      <c r="BF21" t="s">
        <v>85</v>
      </c>
      <c r="BG21">
        <f t="shared" ca="1" si="23"/>
        <v>840</v>
      </c>
      <c r="BK21">
        <v>6</v>
      </c>
      <c r="BL21" t="s">
        <v>111</v>
      </c>
      <c r="BM21">
        <v>100000</v>
      </c>
      <c r="BQ21">
        <v>16</v>
      </c>
      <c r="BR21" t="s">
        <v>144</v>
      </c>
      <c r="BW21">
        <v>16</v>
      </c>
      <c r="BX21" t="s">
        <v>144</v>
      </c>
      <c r="BY21">
        <v>16</v>
      </c>
      <c r="BZ21" t="s">
        <v>150</v>
      </c>
      <c r="CA21">
        <v>16</v>
      </c>
      <c r="CB21" t="s">
        <v>144</v>
      </c>
      <c r="CC21">
        <v>16</v>
      </c>
      <c r="CD21" t="s">
        <v>145</v>
      </c>
      <c r="CF21">
        <v>17</v>
      </c>
      <c r="CG21" t="s">
        <v>168</v>
      </c>
      <c r="CI21">
        <v>17</v>
      </c>
      <c r="CJ21" t="s">
        <v>209</v>
      </c>
      <c r="CL21">
        <v>17</v>
      </c>
      <c r="CM21" t="s">
        <v>240</v>
      </c>
      <c r="CO21">
        <v>17</v>
      </c>
      <c r="CP21" t="s">
        <v>265</v>
      </c>
      <c r="CR21">
        <v>17</v>
      </c>
      <c r="CS21" t="s">
        <v>311</v>
      </c>
      <c r="CU21">
        <v>17</v>
      </c>
      <c r="CV21" t="s">
        <v>340</v>
      </c>
      <c r="CX21">
        <v>17</v>
      </c>
      <c r="CY21">
        <v>1</v>
      </c>
      <c r="DA21">
        <v>17</v>
      </c>
      <c r="DB21">
        <v>1</v>
      </c>
      <c r="DD21">
        <v>17</v>
      </c>
      <c r="DE21">
        <v>1</v>
      </c>
      <c r="DG21">
        <v>17</v>
      </c>
      <c r="DH21" t="s">
        <v>364</v>
      </c>
      <c r="DK21">
        <v>17</v>
      </c>
      <c r="DL21" t="s">
        <v>469</v>
      </c>
      <c r="DN21">
        <v>17</v>
      </c>
      <c r="DO21" t="s">
        <v>518</v>
      </c>
    </row>
    <row r="22" spans="3:122" x14ac:dyDescent="0.3">
      <c r="C22" s="5"/>
      <c r="D22" t="str">
        <f t="shared" ca="1" si="5"/>
        <v>Diamond</v>
      </c>
      <c r="E22" cm="1">
        <f t="array" aca="1" ref="E22" ca="1">_xlfn.IFS(D22="","",D22="Starstone", VLOOKUP($BK$4,$BK$6:$BM$11,3)*AI25*AJ25, D22 = "Tristal", VLOOKUP($BK$14,$BK$16:$BM$24,3)*AI25*AJ25, 1=1, VLOOKUP(AO25,$AX$75:$AZ$174,3)*AI25*AJ25)</f>
        <v>80000</v>
      </c>
      <c r="F22" t="str" cm="1">
        <f t="array" aca="1" ref="F22" ca="1">IF(D22="","",_xlfn.IFS(AH25&gt;5,"Normal",AND(AH25&lt;=5,$BK$28&lt;=4),VLOOKUP(AF25,$BK$29:$BN$39,2),AND(AH25&lt;=5,$BK$28&gt;=9),VLOOKUP(AF25,$BK$29:$BN$39,2), 1=1, "Normal"))</f>
        <v>Normal</v>
      </c>
      <c r="G22" t="str" cm="1">
        <f t="array" aca="1" ref="G22" ca="1">IF(D22="","",_xlfn.IFS(AH25&gt;5, "Normal", AND(AH25&lt;=5, $BL$28&lt;=8, $BL$28&gt;=5), VLOOKUP(AG25,$BK$29:$BN$39,3), AND(AH25&lt;=5,$BK$28&gt;=9), VLOOKUP(AG25,$BK$29:$BN$39,3), 1=1, "Normal"))</f>
        <v>Very Good</v>
      </c>
      <c r="H22" t="str">
        <f t="shared" ca="1" si="2"/>
        <v/>
      </c>
      <c r="I22" t="str">
        <f t="shared" ca="1" si="3"/>
        <v/>
      </c>
      <c r="J22" s="5"/>
      <c r="K22" t="str" cm="1">
        <f t="array" aca="1" ref="K22" ca="1">IF(L22="","",(_xlfn.IFS(L22&gt;=15000,VLOOKUP(AW25,$BE$5:$BH$15,4),L22&gt;=4000,VLOOKUP(AW25,$BE$5:$BH$15,3),L22&gt;=100,VLOOKUP(AW25,$BE$5:$BH$15,2))))</f>
        <v/>
      </c>
      <c r="L22" t="str">
        <f t="shared" ca="1" si="4"/>
        <v/>
      </c>
      <c r="M22" s="5"/>
      <c r="N22" t="str" cm="1">
        <f t="array" aca="1" ref="N22" ca="1">_xlfn.IFS(O22="Potion",VLOOKUP(AB22,$CF$5:$CG$104,2),O22="Ring",VLOOKUP(AB22,$CI$5:$CJ$104,2),O22="Scroll",VLOOKUP(AB22,$CL$5:$CM$104,2),O22="Misc. Magical Item",VLOOKUP(AB22,$CO$5:$CP$104,2),O22="Wand, Staff, or Rod",VLOOKUP(AB22,$CR$5:$CS$104,2),O22="","",1=1,_xlfn.CONCAT("*See ",O22," tab*"))</f>
        <v/>
      </c>
      <c r="O22" t="str">
        <f t="shared" ca="1" si="6"/>
        <v/>
      </c>
      <c r="P22" t="str" cm="1">
        <f t="array" aca="1" ref="P22" ca="1">_xlfn.IFS(O22="Sword", VLOOKUP(R22,concat!$A$2:$B$101, 2), 'Lair Treasures'!O22="Armor or Shield", VLOOKUP(Q22, concat!$G$2:$H$21,2), 'Lair Treasures'!O22="Misc. Weapon", VLOOKUP(Q22, concat!$J$2:$K$21,2), 'Lair Treasures'!O22="Missile Weapon or Missile", VLOOKUP(Q22, concat!$M$2:$N$21,2), 'Lair Treasures'!N22= "Spell Scroll", VLOOKUP(Q22, concat!$D$2:$E$21,2), 1=1, "")</f>
        <v/>
      </c>
      <c r="Q22" s="1">
        <f t="shared" ca="1" si="7"/>
        <v>1</v>
      </c>
      <c r="R22" s="1">
        <f t="shared" ca="1" si="8"/>
        <v>82</v>
      </c>
      <c r="Z22">
        <f t="shared" ca="1" si="9"/>
        <v>94</v>
      </c>
      <c r="AA22">
        <f t="shared" ca="1" si="10"/>
        <v>21</v>
      </c>
      <c r="AB22">
        <f t="shared" ca="1" si="11"/>
        <v>22</v>
      </c>
      <c r="AC22">
        <f t="shared" ca="1" si="12"/>
        <v>96</v>
      </c>
      <c r="AD22">
        <f t="shared" ca="1" si="13"/>
        <v>-10</v>
      </c>
      <c r="AF22" s="1">
        <f t="shared" ca="1" si="16"/>
        <v>9</v>
      </c>
      <c r="AG22" s="1">
        <f t="shared" ca="1" si="16"/>
        <v>10</v>
      </c>
      <c r="AH22" s="1">
        <f t="shared" ca="1" si="17"/>
        <v>33</v>
      </c>
      <c r="AI22" s="1">
        <f t="shared" ca="1" si="14"/>
        <v>1</v>
      </c>
      <c r="AJ22" s="1">
        <f t="shared" ca="1" si="15"/>
        <v>1</v>
      </c>
      <c r="AO22" s="1">
        <f t="shared" ca="1" si="18"/>
        <v>75</v>
      </c>
      <c r="AP22" s="1">
        <f t="shared" ca="1" si="19"/>
        <v>54</v>
      </c>
      <c r="AS22" s="1">
        <f t="shared" ca="1" si="20"/>
        <v>22</v>
      </c>
      <c r="AV22" s="1">
        <f t="shared" ca="1" si="21"/>
        <v>-3</v>
      </c>
      <c r="AW22" s="1">
        <f t="shared" ca="1" si="22"/>
        <v>1</v>
      </c>
      <c r="AX22" t="s">
        <v>7</v>
      </c>
      <c r="AY22">
        <v>25</v>
      </c>
      <c r="AZ22">
        <v>30</v>
      </c>
      <c r="BA22">
        <v>20</v>
      </c>
      <c r="BB22">
        <v>35</v>
      </c>
      <c r="BC22">
        <v>25</v>
      </c>
      <c r="BE22">
        <v>5</v>
      </c>
      <c r="BF22" t="s">
        <v>85</v>
      </c>
      <c r="BG22">
        <f t="shared" ca="1" si="23"/>
        <v>30</v>
      </c>
      <c r="BK22">
        <v>7</v>
      </c>
      <c r="BL22" t="s">
        <v>112</v>
      </c>
      <c r="BM22">
        <v>25000</v>
      </c>
      <c r="BQ22">
        <v>17</v>
      </c>
      <c r="BR22" t="s">
        <v>144</v>
      </c>
      <c r="BT22" t="s">
        <v>157</v>
      </c>
      <c r="BW22">
        <v>17</v>
      </c>
      <c r="BX22" t="s">
        <v>144</v>
      </c>
      <c r="BY22">
        <v>17</v>
      </c>
      <c r="BZ22" t="s">
        <v>150</v>
      </c>
      <c r="CA22">
        <v>17</v>
      </c>
      <c r="CB22" t="s">
        <v>144</v>
      </c>
      <c r="CC22">
        <v>17</v>
      </c>
      <c r="CD22" t="s">
        <v>145</v>
      </c>
      <c r="CF22">
        <v>18</v>
      </c>
      <c r="CG22" t="s">
        <v>168</v>
      </c>
      <c r="CI22">
        <v>18</v>
      </c>
      <c r="CJ22" t="s">
        <v>177</v>
      </c>
      <c r="CL22">
        <v>18</v>
      </c>
      <c r="CM22" t="s">
        <v>241</v>
      </c>
      <c r="CO22">
        <v>18</v>
      </c>
      <c r="CP22" t="s">
        <v>266</v>
      </c>
      <c r="CR22">
        <v>18</v>
      </c>
      <c r="CS22" t="s">
        <v>311</v>
      </c>
      <c r="CU22">
        <v>18</v>
      </c>
      <c r="CV22" t="s">
        <v>340</v>
      </c>
      <c r="CX22">
        <v>18</v>
      </c>
      <c r="CY22">
        <v>1</v>
      </c>
      <c r="DA22">
        <v>18</v>
      </c>
      <c r="DB22">
        <v>1</v>
      </c>
      <c r="DD22">
        <v>18</v>
      </c>
      <c r="DE22">
        <v>1</v>
      </c>
      <c r="DG22">
        <v>18</v>
      </c>
      <c r="DH22" t="s">
        <v>175</v>
      </c>
      <c r="DK22">
        <v>18</v>
      </c>
      <c r="DL22" t="s">
        <v>470</v>
      </c>
      <c r="DN22">
        <v>18</v>
      </c>
      <c r="DO22" t="s">
        <v>519</v>
      </c>
    </row>
    <row r="23" spans="3:122" x14ac:dyDescent="0.3">
      <c r="C23" s="5"/>
      <c r="D23" t="str">
        <f t="shared" ca="1" si="5"/>
        <v>Coral</v>
      </c>
      <c r="E23" cm="1">
        <f t="array" aca="1" ref="E23" ca="1">_xlfn.IFS(D23="","",D23="Starstone", VLOOKUP($BK$4,$BK$6:$BM$11,3)*AI26*AJ26, D23 = "Tristal", VLOOKUP($BK$14,$BK$16:$BM$24,3)*AI26*AJ26, 1=1, VLOOKUP(AO26,$AX$75:$AZ$174,3)*AI26*AJ26)</f>
        <v>100</v>
      </c>
      <c r="F23" t="str" cm="1">
        <f t="array" aca="1" ref="F23" ca="1">IF(D23="","",_xlfn.IFS(AH26&gt;5,"Normal",AND(AH26&lt;=5,$BK$28&lt;=4),VLOOKUP(AF26,$BK$29:$BN$39,2),AND(AH26&lt;=5,$BK$28&gt;=9),VLOOKUP(AF26,$BK$29:$BN$39,2), 1=1, "Normal"))</f>
        <v>Normal</v>
      </c>
      <c r="G23" t="str" cm="1">
        <f t="array" aca="1" ref="G23" ca="1">IF(D23="","",_xlfn.IFS(AH26&gt;5, "Normal", AND(AH26&lt;=5, $BL$28&lt;=8, $BL$28&gt;=5), VLOOKUP(AG26,$BK$29:$BN$39,3), AND(AH26&lt;=5,$BK$28&gt;=9), VLOOKUP(AG26,$BK$29:$BN$39,3), 1=1, "Normal"))</f>
        <v>Normal</v>
      </c>
      <c r="H23" t="str">
        <f t="shared" ca="1" si="2"/>
        <v/>
      </c>
      <c r="I23" t="str">
        <f t="shared" ca="1" si="3"/>
        <v/>
      </c>
      <c r="J23" s="5"/>
      <c r="K23" t="str" cm="1">
        <f t="array" aca="1" ref="K23" ca="1">IF(L23="","",(_xlfn.IFS(L23&gt;=15000,VLOOKUP(AW26,$BE$5:$BH$15,4),L23&gt;=4000,VLOOKUP(AW26,$BE$5:$BH$15,3),L23&gt;=100,VLOOKUP(AW26,$BE$5:$BH$15,2))))</f>
        <v/>
      </c>
      <c r="L23" t="str">
        <f t="shared" ca="1" si="4"/>
        <v/>
      </c>
      <c r="M23" s="5"/>
      <c r="N23" t="str" cm="1">
        <f t="array" aca="1" ref="N23" ca="1">_xlfn.IFS(O23="Potion",VLOOKUP(AB23,$CF$5:$CG$104,2),O23="Ring",VLOOKUP(AB23,$CI$5:$CJ$104,2),O23="Scroll",VLOOKUP(AB23,$CL$5:$CM$104,2),O23="Misc. Magical Item",VLOOKUP(AB23,$CO$5:$CP$104,2),O23="Wand, Staff, or Rod",VLOOKUP(AB23,$CR$5:$CS$104,2),O23="","",1=1,_xlfn.CONCAT("*See ",O23," tab*"))</f>
        <v/>
      </c>
      <c r="O23" t="str">
        <f t="shared" ca="1" si="6"/>
        <v/>
      </c>
      <c r="P23" t="str" cm="1">
        <f t="array" aca="1" ref="P23" ca="1">_xlfn.IFS(O23="Sword", VLOOKUP(R23,concat!$A$2:$B$101, 2), 'Lair Treasures'!O23="Armor or Shield", VLOOKUP(Q23, concat!$G$2:$H$21,2), 'Lair Treasures'!O23="Misc. Weapon", VLOOKUP(Q23, concat!$J$2:$K$21,2), 'Lair Treasures'!O23="Missile Weapon or Missile", VLOOKUP(Q23, concat!$M$2:$N$21,2), 'Lair Treasures'!N23= "Spell Scroll", VLOOKUP(Q23, concat!$D$2:$E$21,2), 1=1, "")</f>
        <v/>
      </c>
      <c r="Q23" s="1">
        <f t="shared" ca="1" si="7"/>
        <v>11</v>
      </c>
      <c r="R23" s="1">
        <f t="shared" ca="1" si="8"/>
        <v>32</v>
      </c>
      <c r="Z23">
        <f t="shared" ca="1" si="9"/>
        <v>1</v>
      </c>
      <c r="AA23">
        <f t="shared" ca="1" si="10"/>
        <v>23</v>
      </c>
      <c r="AB23">
        <f t="shared" ca="1" si="11"/>
        <v>12</v>
      </c>
      <c r="AC23">
        <f t="shared" ca="1" si="12"/>
        <v>23</v>
      </c>
      <c r="AD23">
        <f t="shared" ca="1" si="13"/>
        <v>-11</v>
      </c>
      <c r="AF23" s="1">
        <f t="shared" ca="1" si="16"/>
        <v>2</v>
      </c>
      <c r="AG23" s="1">
        <f t="shared" ca="1" si="16"/>
        <v>1</v>
      </c>
      <c r="AH23" s="1">
        <f t="shared" ca="1" si="17"/>
        <v>10</v>
      </c>
      <c r="AI23" s="1">
        <f t="shared" ca="1" si="14"/>
        <v>1</v>
      </c>
      <c r="AJ23" s="1">
        <f t="shared" ca="1" si="15"/>
        <v>1</v>
      </c>
      <c r="AO23" s="1">
        <f t="shared" ca="1" si="18"/>
        <v>81</v>
      </c>
      <c r="AP23" s="1">
        <f t="shared" ca="1" si="19"/>
        <v>53</v>
      </c>
      <c r="AS23" s="1">
        <f t="shared" ca="1" si="20"/>
        <v>44</v>
      </c>
      <c r="AV23" s="1">
        <f t="shared" ca="1" si="21"/>
        <v>-4</v>
      </c>
      <c r="AW23" s="1">
        <f t="shared" ca="1" si="22"/>
        <v>7</v>
      </c>
      <c r="AX23" t="s">
        <v>8</v>
      </c>
      <c r="AY23">
        <v>50</v>
      </c>
      <c r="AZ23">
        <v>25</v>
      </c>
      <c r="BA23">
        <v>35</v>
      </c>
      <c r="BB23">
        <v>35</v>
      </c>
      <c r="BC23">
        <v>0</v>
      </c>
      <c r="BE23">
        <v>6</v>
      </c>
      <c r="BF23" t="s">
        <v>85</v>
      </c>
      <c r="BG23">
        <f t="shared" ca="1" si="23"/>
        <v>950</v>
      </c>
      <c r="BK23">
        <v>8</v>
      </c>
      <c r="BL23" t="s">
        <v>112</v>
      </c>
      <c r="BM23">
        <v>50000</v>
      </c>
      <c r="BQ23">
        <v>18</v>
      </c>
      <c r="BR23" t="s">
        <v>144</v>
      </c>
      <c r="BT23" t="s">
        <v>7</v>
      </c>
      <c r="BU23" t="s">
        <v>346</v>
      </c>
      <c r="BW23">
        <v>18</v>
      </c>
      <c r="BX23" t="s">
        <v>144</v>
      </c>
      <c r="BY23">
        <v>18</v>
      </c>
      <c r="BZ23" t="s">
        <v>150</v>
      </c>
      <c r="CA23">
        <v>18</v>
      </c>
      <c r="CB23" t="s">
        <v>144</v>
      </c>
      <c r="CC23">
        <v>18</v>
      </c>
      <c r="CD23" t="s">
        <v>145</v>
      </c>
      <c r="CF23">
        <v>19</v>
      </c>
      <c r="CG23" t="s">
        <v>169</v>
      </c>
      <c r="CI23">
        <v>19</v>
      </c>
      <c r="CJ23" t="s">
        <v>177</v>
      </c>
      <c r="CL23">
        <v>19</v>
      </c>
      <c r="CM23" t="s">
        <v>241</v>
      </c>
      <c r="CO23">
        <v>19</v>
      </c>
      <c r="CP23" t="s">
        <v>266</v>
      </c>
      <c r="CR23">
        <v>19</v>
      </c>
      <c r="CS23" t="s">
        <v>311</v>
      </c>
      <c r="CU23">
        <v>19</v>
      </c>
      <c r="CV23" t="s">
        <v>340</v>
      </c>
      <c r="CX23">
        <v>19</v>
      </c>
      <c r="CY23">
        <v>1</v>
      </c>
      <c r="DA23">
        <v>19</v>
      </c>
      <c r="DB23">
        <v>1</v>
      </c>
      <c r="DD23">
        <v>19</v>
      </c>
      <c r="DE23">
        <v>1</v>
      </c>
      <c r="DG23">
        <v>19</v>
      </c>
      <c r="DH23" t="s">
        <v>187</v>
      </c>
      <c r="DK23">
        <v>19</v>
      </c>
      <c r="DL23" t="s">
        <v>471</v>
      </c>
      <c r="DN23">
        <v>19</v>
      </c>
      <c r="DO23" t="s">
        <v>399</v>
      </c>
    </row>
    <row r="24" spans="3:122" x14ac:dyDescent="0.3">
      <c r="C24" s="5"/>
      <c r="D24" t="str">
        <f t="shared" ca="1" si="5"/>
        <v>Starstone</v>
      </c>
      <c r="E24" cm="1">
        <f t="array" aca="1" ref="E24" ca="1">_xlfn.IFS(D24="","",D24="Starstone", VLOOKUP($BK$4,$BK$6:$BM$11,3)*AI27*AJ27, D24 = "Tristal", VLOOKUP($BK$14,$BK$16:$BM$24,3)*AI27*AJ27, 1=1, VLOOKUP(AO27,$AX$75:$AZ$174,3)*AI27*AJ27)</f>
        <v>2000</v>
      </c>
      <c r="F24" t="str" cm="1">
        <f t="array" aca="1" ref="F24" ca="1">IF(D24="","",_xlfn.IFS(AH27&gt;5,"Normal",AND(AH27&lt;=5,$BK$28&lt;=4),VLOOKUP(AF27,$BK$29:$BN$39,2),AND(AH27&lt;=5,$BK$28&gt;=9),VLOOKUP(AF27,$BK$29:$BN$39,2), 1=1, "Normal"))</f>
        <v>Normal</v>
      </c>
      <c r="G24" t="str" cm="1">
        <f t="array" aca="1" ref="G24" ca="1">IF(D24="","",_xlfn.IFS(AH27&gt;5, "Normal", AND(AH27&lt;=5, $BL$28&lt;=8, $BL$28&gt;=5), VLOOKUP(AG27,$BK$29:$BN$39,3), AND(AH27&lt;=5,$BK$28&gt;=9), VLOOKUP(AG27,$BK$29:$BN$39,3), 1=1, "Normal"))</f>
        <v>Normal</v>
      </c>
      <c r="H24" t="str">
        <f t="shared" ca="1" si="2"/>
        <v/>
      </c>
      <c r="I24" t="str">
        <f t="shared" ca="1" si="3"/>
        <v>Opal</v>
      </c>
      <c r="J24" s="5"/>
      <c r="K24" t="str" cm="1">
        <f t="array" aca="1" ref="K24" ca="1">IF(L24="","",(_xlfn.IFS(L24&gt;=15000,VLOOKUP(AW27,$BE$5:$BH$15,4),L24&gt;=4000,VLOOKUP(AW27,$BE$5:$BH$15,3),L24&gt;=100,VLOOKUP(AW27,$BE$5:$BH$15,2))))</f>
        <v/>
      </c>
      <c r="L24" t="str">
        <f t="shared" ca="1" si="4"/>
        <v/>
      </c>
      <c r="M24" s="5"/>
      <c r="N24" t="str" cm="1">
        <f t="array" aca="1" ref="N24" ca="1">_xlfn.IFS(O24="Potion",VLOOKUP(AB24,$CF$5:$CG$104,2),O24="Ring",VLOOKUP(AB24,$CI$5:$CJ$104,2),O24="Scroll",VLOOKUP(AB24,$CL$5:$CM$104,2),O24="Misc. Magical Item",VLOOKUP(AB24,$CO$5:$CP$104,2),O24="Wand, Staff, or Rod",VLOOKUP(AB24,$CR$5:$CS$104,2),O24="","",1=1,_xlfn.CONCAT("*See ",O24," tab*"))</f>
        <v/>
      </c>
      <c r="O24" t="str">
        <f t="shared" ca="1" si="6"/>
        <v/>
      </c>
      <c r="P24" t="str" cm="1">
        <f t="array" aca="1" ref="P24" ca="1">_xlfn.IFS(O24="Sword", VLOOKUP(R24,concat!$A$2:$B$101, 2), 'Lair Treasures'!O24="Armor or Shield", VLOOKUP(Q24, concat!$G$2:$H$21,2), 'Lair Treasures'!O24="Misc. Weapon", VLOOKUP(Q24, concat!$J$2:$K$21,2), 'Lair Treasures'!O24="Missile Weapon or Missile", VLOOKUP(Q24, concat!$M$2:$N$21,2), 'Lair Treasures'!N24= "Spell Scroll", VLOOKUP(Q24, concat!$D$2:$E$21,2), 1=1, "")</f>
        <v/>
      </c>
      <c r="Q24" s="1">
        <f t="shared" ca="1" si="7"/>
        <v>16</v>
      </c>
      <c r="R24" s="1">
        <f t="shared" ca="1" si="8"/>
        <v>89</v>
      </c>
      <c r="Z24">
        <f t="shared" ca="1" si="9"/>
        <v>11</v>
      </c>
      <c r="AA24">
        <f t="shared" ca="1" si="10"/>
        <v>90</v>
      </c>
      <c r="AB24">
        <f t="shared" ca="1" si="11"/>
        <v>85</v>
      </c>
      <c r="AC24">
        <f t="shared" ca="1" si="12"/>
        <v>72</v>
      </c>
      <c r="AD24">
        <f t="shared" ca="1" si="13"/>
        <v>-12</v>
      </c>
      <c r="AF24" s="1">
        <f t="shared" ca="1" si="16"/>
        <v>9</v>
      </c>
      <c r="AG24" s="1">
        <f t="shared" ca="1" si="16"/>
        <v>4</v>
      </c>
      <c r="AH24" s="1">
        <f t="shared" ca="1" si="17"/>
        <v>68</v>
      </c>
      <c r="AI24" s="1">
        <f t="shared" ca="1" si="14"/>
        <v>1</v>
      </c>
      <c r="AJ24" s="1">
        <f t="shared" ca="1" si="15"/>
        <v>1</v>
      </c>
      <c r="AO24" s="1">
        <f t="shared" ca="1" si="18"/>
        <v>74</v>
      </c>
      <c r="AP24" s="1">
        <f t="shared" ca="1" si="19"/>
        <v>52</v>
      </c>
      <c r="AS24" s="1">
        <f t="shared" ca="1" si="20"/>
        <v>78</v>
      </c>
      <c r="AV24" s="1">
        <f t="shared" ca="1" si="21"/>
        <v>-5</v>
      </c>
      <c r="AW24" s="1">
        <f t="shared" ca="1" si="22"/>
        <v>1</v>
      </c>
      <c r="AX24" t="s">
        <v>9</v>
      </c>
      <c r="AY24">
        <v>20</v>
      </c>
      <c r="AZ24">
        <v>30</v>
      </c>
      <c r="BA24">
        <v>10</v>
      </c>
      <c r="BB24">
        <v>0</v>
      </c>
      <c r="BC24">
        <v>0</v>
      </c>
      <c r="BE24">
        <v>7</v>
      </c>
      <c r="BF24" t="s">
        <v>85</v>
      </c>
      <c r="BG24">
        <f t="shared" ca="1" si="23"/>
        <v>720</v>
      </c>
      <c r="BK24">
        <v>9</v>
      </c>
      <c r="BL24" t="s">
        <v>112</v>
      </c>
      <c r="BM24">
        <v>100000</v>
      </c>
      <c r="BQ24">
        <v>19</v>
      </c>
      <c r="BR24" t="s">
        <v>144</v>
      </c>
      <c r="BT24" t="s">
        <v>8</v>
      </c>
      <c r="BU24" t="s">
        <v>576</v>
      </c>
      <c r="BW24">
        <v>19</v>
      </c>
      <c r="BX24" t="s">
        <v>144</v>
      </c>
      <c r="BY24">
        <v>19</v>
      </c>
      <c r="BZ24" t="s">
        <v>150</v>
      </c>
      <c r="CA24">
        <v>19</v>
      </c>
      <c r="CB24" t="s">
        <v>144</v>
      </c>
      <c r="CC24">
        <v>19</v>
      </c>
      <c r="CD24" t="s">
        <v>145</v>
      </c>
      <c r="CF24">
        <v>20</v>
      </c>
      <c r="CG24" t="s">
        <v>169</v>
      </c>
      <c r="CI24">
        <v>20</v>
      </c>
      <c r="CJ24" t="s">
        <v>177</v>
      </c>
      <c r="CL24">
        <v>20</v>
      </c>
      <c r="CM24" t="s">
        <v>242</v>
      </c>
      <c r="CO24">
        <v>20</v>
      </c>
      <c r="CP24" t="s">
        <v>267</v>
      </c>
      <c r="CR24">
        <v>20</v>
      </c>
      <c r="CS24" t="s">
        <v>312</v>
      </c>
      <c r="CU24">
        <v>20</v>
      </c>
      <c r="CV24" t="s">
        <v>340</v>
      </c>
      <c r="CX24">
        <v>20</v>
      </c>
      <c r="CY24">
        <v>1</v>
      </c>
      <c r="DA24">
        <v>20</v>
      </c>
      <c r="DB24">
        <v>1</v>
      </c>
      <c r="DD24">
        <v>20</v>
      </c>
      <c r="DE24">
        <v>1</v>
      </c>
      <c r="DG24">
        <v>20</v>
      </c>
      <c r="DH24" t="s">
        <v>365</v>
      </c>
      <c r="DK24">
        <v>20</v>
      </c>
      <c r="DL24" t="s">
        <v>474</v>
      </c>
      <c r="DN24">
        <v>20</v>
      </c>
      <c r="DO24" t="s">
        <v>520</v>
      </c>
    </row>
    <row r="25" spans="3:122" x14ac:dyDescent="0.3">
      <c r="C25" s="5"/>
      <c r="D25" t="str">
        <f t="shared" ca="1" si="5"/>
        <v>Topaz</v>
      </c>
      <c r="E25" cm="1">
        <f t="array" aca="1" ref="E25" ca="1">_xlfn.IFS(D25="","",D25="Starstone", VLOOKUP($BK$4,$BK$6:$BM$11,3)*AI28*AJ28, D25 = "Tristal", VLOOKUP($BK$14,$BK$16:$BM$24,3)*AI28*AJ28, 1=1, VLOOKUP(AO28,$AX$75:$AZ$174,3)*AI28*AJ28)</f>
        <v>500</v>
      </c>
      <c r="F25" t="str" cm="1">
        <f t="array" aca="1" ref="F25" ca="1">IF(D25="","",_xlfn.IFS(AH28&gt;5,"Normal",AND(AH28&lt;=5,$BK$28&lt;=4),VLOOKUP(AF28,$BK$29:$BN$39,2),AND(AH28&lt;=5,$BK$28&gt;=9),VLOOKUP(AF28,$BK$29:$BN$39,2), 1=1, "Normal"))</f>
        <v>Normal</v>
      </c>
      <c r="G25" t="str" cm="1">
        <f t="array" aca="1" ref="G25" ca="1">IF(D25="","",_xlfn.IFS(AH28&gt;5, "Normal", AND(AH28&lt;=5, $BL$28&lt;=8, $BL$28&gt;=5), VLOOKUP(AG28,$BK$29:$BN$39,3), AND(AH28&lt;=5,$BK$28&gt;=9), VLOOKUP(AG28,$BK$29:$BN$39,3), 1=1, "Normal"))</f>
        <v>Normal</v>
      </c>
      <c r="H25" t="str">
        <f t="shared" ca="1" si="2"/>
        <v/>
      </c>
      <c r="I25" t="str">
        <f t="shared" ca="1" si="3"/>
        <v/>
      </c>
      <c r="J25" s="5"/>
      <c r="K25" t="str" cm="1">
        <f t="array" aca="1" ref="K25" ca="1">IF(L25="","",(_xlfn.IFS(L25&gt;=15000,VLOOKUP(AW28,$BE$5:$BH$15,4),L25&gt;=4000,VLOOKUP(AW28,$BE$5:$BH$15,3),L25&gt;=100,VLOOKUP(AW28,$BE$5:$BH$15,2))))</f>
        <v/>
      </c>
      <c r="L25" t="str">
        <f t="shared" ca="1" si="4"/>
        <v/>
      </c>
      <c r="M25" s="5"/>
      <c r="N25" t="str" cm="1">
        <f t="array" aca="1" ref="N25" ca="1">_xlfn.IFS(O25="Potion",VLOOKUP(AB25,$CF$5:$CG$104,2),O25="Ring",VLOOKUP(AB25,$CI$5:$CJ$104,2),O25="Scroll",VLOOKUP(AB25,$CL$5:$CM$104,2),O25="Misc. Magical Item",VLOOKUP(AB25,$CO$5:$CP$104,2),O25="Wand, Staff, or Rod",VLOOKUP(AB25,$CR$5:$CS$104,2),O25="","",1=1,_xlfn.CONCAT("*See ",O25," tab*"))</f>
        <v/>
      </c>
      <c r="O25" t="str">
        <f t="shared" ca="1" si="6"/>
        <v/>
      </c>
      <c r="P25" t="str" cm="1">
        <f t="array" aca="1" ref="P25" ca="1">_xlfn.IFS(O25="Sword", VLOOKUP(R25,concat!$A$2:$B$101, 2), 'Lair Treasures'!O25="Armor or Shield", VLOOKUP(Q25, concat!$G$2:$H$21,2), 'Lair Treasures'!O25="Misc. Weapon", VLOOKUP(Q25, concat!$J$2:$K$21,2), 'Lair Treasures'!O25="Missile Weapon or Missile", VLOOKUP(Q25, concat!$M$2:$N$21,2), 'Lair Treasures'!N25= "Spell Scroll", VLOOKUP(Q25, concat!$D$2:$E$21,2), 1=1, "")</f>
        <v/>
      </c>
      <c r="Q25" s="1">
        <f t="shared" ca="1" si="7"/>
        <v>6</v>
      </c>
      <c r="R25" s="1">
        <f t="shared" ca="1" si="8"/>
        <v>29</v>
      </c>
      <c r="Z25">
        <f t="shared" ca="1" si="9"/>
        <v>4</v>
      </c>
      <c r="AA25">
        <f t="shared" ca="1" si="10"/>
        <v>52</v>
      </c>
      <c r="AB25">
        <f t="shared" ca="1" si="11"/>
        <v>65</v>
      </c>
      <c r="AC25">
        <f t="shared" ca="1" si="12"/>
        <v>63</v>
      </c>
      <c r="AD25">
        <f t="shared" ca="1" si="13"/>
        <v>-13</v>
      </c>
      <c r="AF25" s="1">
        <f t="shared" ca="1" si="16"/>
        <v>5</v>
      </c>
      <c r="AG25" s="1">
        <f t="shared" ca="1" si="16"/>
        <v>10</v>
      </c>
      <c r="AH25" s="1">
        <f t="shared" ca="1" si="17"/>
        <v>4</v>
      </c>
      <c r="AI25" s="1">
        <f t="shared" ca="1" si="14"/>
        <v>1</v>
      </c>
      <c r="AJ25" s="1">
        <f t="shared" ca="1" si="15"/>
        <v>8</v>
      </c>
      <c r="AO25" s="1">
        <f t="shared" ca="1" si="18"/>
        <v>93</v>
      </c>
      <c r="AP25" s="1">
        <f t="shared" ca="1" si="19"/>
        <v>51</v>
      </c>
      <c r="AS25" s="1">
        <f t="shared" ca="1" si="20"/>
        <v>79</v>
      </c>
      <c r="AV25" s="1">
        <f t="shared" ca="1" si="21"/>
        <v>-6</v>
      </c>
      <c r="AW25" s="1">
        <f t="shared" ca="1" si="22"/>
        <v>2</v>
      </c>
      <c r="AX25" t="s">
        <v>10</v>
      </c>
      <c r="AY25">
        <v>10</v>
      </c>
      <c r="AZ25">
        <v>15</v>
      </c>
      <c r="BA25">
        <v>0</v>
      </c>
      <c r="BB25">
        <v>60</v>
      </c>
      <c r="BC25">
        <v>0</v>
      </c>
      <c r="BE25">
        <v>8</v>
      </c>
      <c r="BF25" t="s">
        <v>85</v>
      </c>
      <c r="BG25">
        <f t="shared" ca="1" si="23"/>
        <v>510</v>
      </c>
      <c r="BQ25">
        <v>20</v>
      </c>
      <c r="BR25" t="s">
        <v>144</v>
      </c>
      <c r="BT25" t="s">
        <v>9</v>
      </c>
      <c r="BU25" t="s">
        <v>346</v>
      </c>
      <c r="BW25">
        <v>20</v>
      </c>
      <c r="BX25" t="s">
        <v>144</v>
      </c>
      <c r="BY25">
        <v>20</v>
      </c>
      <c r="BZ25" t="s">
        <v>150</v>
      </c>
      <c r="CA25">
        <v>20</v>
      </c>
      <c r="CB25" t="s">
        <v>144</v>
      </c>
      <c r="CC25">
        <v>20</v>
      </c>
      <c r="CD25" t="s">
        <v>145</v>
      </c>
      <c r="CF25">
        <v>21</v>
      </c>
      <c r="CG25" t="s">
        <v>169</v>
      </c>
      <c r="CI25">
        <v>21</v>
      </c>
      <c r="CJ25" t="s">
        <v>177</v>
      </c>
      <c r="CL25">
        <v>21</v>
      </c>
      <c r="CM25" t="s">
        <v>242</v>
      </c>
      <c r="CO25">
        <v>21</v>
      </c>
      <c r="CP25" t="s">
        <v>268</v>
      </c>
      <c r="CR25">
        <v>21</v>
      </c>
      <c r="CS25" t="s">
        <v>312</v>
      </c>
      <c r="CU25">
        <v>21</v>
      </c>
      <c r="CV25" t="s">
        <v>340</v>
      </c>
      <c r="CX25">
        <v>21</v>
      </c>
      <c r="CY25">
        <v>1</v>
      </c>
      <c r="DA25">
        <v>21</v>
      </c>
      <c r="DB25">
        <v>1</v>
      </c>
      <c r="DD25">
        <v>21</v>
      </c>
      <c r="DE25">
        <v>1</v>
      </c>
      <c r="DG25">
        <v>21</v>
      </c>
      <c r="DH25" t="s">
        <v>366</v>
      </c>
      <c r="DK25">
        <v>21</v>
      </c>
      <c r="DL25" t="s">
        <v>367</v>
      </c>
      <c r="DN25">
        <v>21</v>
      </c>
      <c r="DO25" t="s">
        <v>521</v>
      </c>
    </row>
    <row r="26" spans="3:122" x14ac:dyDescent="0.3">
      <c r="C26" s="5"/>
      <c r="D26" t="str">
        <f t="shared" ca="1" si="5"/>
        <v>Topaz</v>
      </c>
      <c r="E26" cm="1">
        <f t="array" aca="1" ref="E26" ca="1">_xlfn.IFS(D26="","",D26="Starstone", VLOOKUP($BK$4,$BK$6:$BM$11,3)*AI29*AJ29, D26 = "Tristal", VLOOKUP($BK$14,$BK$16:$BM$24,3)*AI29*AJ29, 1=1, VLOOKUP(AO29,$AX$75:$AZ$174,3)*AI29*AJ29)</f>
        <v>500</v>
      </c>
      <c r="F26" t="str" cm="1">
        <f t="array" aca="1" ref="F26" ca="1">IF(D26="","",_xlfn.IFS(AH29&gt;5,"Normal",AND(AH29&lt;=5,$BK$28&lt;=4),VLOOKUP(AF29,$BK$29:$BN$39,2),AND(AH29&lt;=5,$BK$28&gt;=9),VLOOKUP(AF29,$BK$29:$BN$39,2), 1=1, "Normal"))</f>
        <v>Normal</v>
      </c>
      <c r="G26" t="str" cm="1">
        <f t="array" aca="1" ref="G26" ca="1">IF(D26="","",_xlfn.IFS(AH29&gt;5, "Normal", AND(AH29&lt;=5, $BL$28&lt;=8, $BL$28&gt;=5), VLOOKUP(AG29,$BK$29:$BN$39,3), AND(AH29&lt;=5,$BK$28&gt;=9), VLOOKUP(AG29,$BK$29:$BN$39,3), 1=1, "Normal"))</f>
        <v>Normal</v>
      </c>
      <c r="H26" t="str">
        <f t="shared" ca="1" si="2"/>
        <v/>
      </c>
      <c r="I26" t="str">
        <f t="shared" ca="1" si="3"/>
        <v/>
      </c>
      <c r="J26" s="5"/>
      <c r="K26" t="str" cm="1">
        <f t="array" aca="1" ref="K26" ca="1">IF(L26="","",(_xlfn.IFS(L26&gt;=15000,VLOOKUP(AW29,$BE$5:$BH$15,4),L26&gt;=4000,VLOOKUP(AW29,$BE$5:$BH$15,3),L26&gt;=100,VLOOKUP(AW29,$BE$5:$BH$15,2))))</f>
        <v/>
      </c>
      <c r="L26" t="str">
        <f t="shared" ca="1" si="4"/>
        <v/>
      </c>
      <c r="M26" s="5"/>
      <c r="P26" t="str" cm="1">
        <f t="array" aca="1" ref="P26" ca="1">_xlfn.IFS(O26="Sword", VLOOKUP(R26,concat!$A$2:$B$101, 2), 'Lair Treasures'!O26="Armor or Shield", VLOOKUP(Q26, concat!$G$2:$H$21,2), 'Lair Treasures'!O26="Misc. Weapon", VLOOKUP(Q26, concat!$J$2:$K$21,2), 'Lair Treasures'!O26="Missile Weapon or Missile", VLOOKUP(Q26, concat!$M$2:$N$21,2), 'Lair Treasures'!N26= "Spell Scroll", VLOOKUP(Q26, concat!$D$2:$E$21,2), 1=1, "")</f>
        <v/>
      </c>
      <c r="Q26" s="1">
        <f t="shared" ca="1" si="7"/>
        <v>3</v>
      </c>
      <c r="R26" s="1">
        <f t="shared" ca="1" si="8"/>
        <v>34</v>
      </c>
      <c r="AF26" s="1">
        <f t="shared" ca="1" si="16"/>
        <v>7</v>
      </c>
      <c r="AG26" s="1">
        <f t="shared" ca="1" si="16"/>
        <v>9</v>
      </c>
      <c r="AH26" s="1">
        <f t="shared" ca="1" si="17"/>
        <v>79</v>
      </c>
      <c r="AI26" s="1">
        <f t="shared" ca="1" si="14"/>
        <v>1</v>
      </c>
      <c r="AJ26" s="1">
        <f t="shared" ca="1" si="15"/>
        <v>1</v>
      </c>
      <c r="AO26" s="1">
        <f t="shared" ca="1" si="18"/>
        <v>18</v>
      </c>
      <c r="AP26" s="1">
        <f t="shared" ca="1" si="19"/>
        <v>50</v>
      </c>
      <c r="AS26" s="1">
        <f t="shared" ca="1" si="20"/>
        <v>39</v>
      </c>
      <c r="AV26" s="1">
        <f t="shared" ca="1" si="21"/>
        <v>-7</v>
      </c>
      <c r="AW26" s="1">
        <f t="shared" ca="1" si="22"/>
        <v>1</v>
      </c>
      <c r="AX26" t="s">
        <v>11</v>
      </c>
      <c r="AY26">
        <v>5</v>
      </c>
      <c r="AZ26">
        <v>30</v>
      </c>
      <c r="BA26">
        <v>25</v>
      </c>
      <c r="BB26">
        <v>25</v>
      </c>
      <c r="BC26">
        <v>0</v>
      </c>
      <c r="BE26">
        <v>9</v>
      </c>
      <c r="BF26" t="s">
        <v>85</v>
      </c>
      <c r="BG26">
        <f t="shared" ca="1" si="23"/>
        <v>400</v>
      </c>
      <c r="BQ26">
        <v>21</v>
      </c>
      <c r="BR26" t="s">
        <v>144</v>
      </c>
      <c r="BT26" t="s">
        <v>10</v>
      </c>
      <c r="BU26" t="s">
        <v>346</v>
      </c>
      <c r="BW26">
        <v>21</v>
      </c>
      <c r="BX26" t="s">
        <v>144</v>
      </c>
      <c r="BY26">
        <v>21</v>
      </c>
      <c r="BZ26" t="s">
        <v>150</v>
      </c>
      <c r="CA26">
        <v>21</v>
      </c>
      <c r="CB26" t="s">
        <v>144</v>
      </c>
      <c r="CC26">
        <v>21</v>
      </c>
      <c r="CD26" t="s">
        <v>145</v>
      </c>
      <c r="CF26">
        <v>22</v>
      </c>
      <c r="CG26" t="s">
        <v>169</v>
      </c>
      <c r="CI26">
        <v>22</v>
      </c>
      <c r="CJ26" t="s">
        <v>177</v>
      </c>
      <c r="CL26">
        <v>22</v>
      </c>
      <c r="CM26" t="s">
        <v>243</v>
      </c>
      <c r="CO26">
        <v>22</v>
      </c>
      <c r="CP26" t="s">
        <v>269</v>
      </c>
      <c r="CR26">
        <v>22</v>
      </c>
      <c r="CS26" t="s">
        <v>312</v>
      </c>
      <c r="CU26">
        <v>22</v>
      </c>
      <c r="CV26" t="s">
        <v>340</v>
      </c>
      <c r="CX26">
        <v>22</v>
      </c>
      <c r="CY26">
        <v>1</v>
      </c>
      <c r="DA26">
        <v>22</v>
      </c>
      <c r="DB26">
        <v>1</v>
      </c>
      <c r="DD26">
        <v>22</v>
      </c>
      <c r="DE26">
        <v>1</v>
      </c>
      <c r="DG26">
        <v>22</v>
      </c>
      <c r="DH26" t="s">
        <v>367</v>
      </c>
      <c r="DK26">
        <v>22</v>
      </c>
      <c r="DL26" t="s">
        <v>392</v>
      </c>
      <c r="DN26">
        <v>22</v>
      </c>
      <c r="DO26" t="s">
        <v>522</v>
      </c>
    </row>
    <row r="27" spans="3:122" x14ac:dyDescent="0.3">
      <c r="C27" s="5"/>
      <c r="D27" t="str">
        <f t="shared" ca="1" si="5"/>
        <v>Topaz</v>
      </c>
      <c r="E27" cm="1">
        <f t="array" aca="1" ref="E27" ca="1">_xlfn.IFS(D27="","",D27="Starstone", VLOOKUP($BK$4,$BK$6:$BM$11,3)*AI30*AJ30, D27 = "Tristal", VLOOKUP($BK$14,$BK$16:$BM$24,3)*AI30*AJ30, 1=1, VLOOKUP(AO30,$AX$75:$AZ$174,3)*AI30*AJ30)</f>
        <v>500</v>
      </c>
      <c r="F27" t="str" cm="1">
        <f t="array" aca="1" ref="F27" ca="1">IF(D27="","",_xlfn.IFS(AH30&gt;5,"Normal",AND(AH30&lt;=5,$BK$28&lt;=4),VLOOKUP(AF30,$BK$29:$BN$39,2),AND(AH30&lt;=5,$BK$28&gt;=9),VLOOKUP(AF30,$BK$29:$BN$39,2), 1=1, "Normal"))</f>
        <v>Normal</v>
      </c>
      <c r="G27" t="str" cm="1">
        <f t="array" aca="1" ref="G27" ca="1">IF(D27="","",_xlfn.IFS(AH30&gt;5, "Normal", AND(AH30&lt;=5, $BL$28&lt;=8, $BL$28&gt;=5), VLOOKUP(AG30,$BK$29:$BN$39,3), AND(AH30&lt;=5,$BK$28&gt;=9), VLOOKUP(AG30,$BK$29:$BN$39,3), 1=1, "Normal"))</f>
        <v>Normal</v>
      </c>
      <c r="H27" t="str">
        <f t="shared" ca="1" si="2"/>
        <v/>
      </c>
      <c r="I27" t="str">
        <f t="shared" ca="1" si="3"/>
        <v/>
      </c>
      <c r="J27" s="5"/>
      <c r="K27" t="str" cm="1">
        <f t="array" aca="1" ref="K27" ca="1">IF(L27="","",(_xlfn.IFS(L27&gt;=15000,VLOOKUP(AW30,$BE$5:$BH$15,4),L27&gt;=4000,VLOOKUP(AW30,$BE$5:$BH$15,3),L27&gt;=100,VLOOKUP(AW30,$BE$5:$BH$15,2))))</f>
        <v/>
      </c>
      <c r="L27" t="str">
        <f t="shared" ca="1" si="4"/>
        <v/>
      </c>
      <c r="M27" s="5"/>
      <c r="P27" t="str" cm="1">
        <f t="array" aca="1" ref="P27" ca="1">_xlfn.IFS(O27="Sword", VLOOKUP(R27,concat!$A$2:$B$101, 2), 'Lair Treasures'!O27="Armor or Shield", VLOOKUP(Q27, concat!$G$2:$H$21,2), 'Lair Treasures'!O27="Misc. Weapon", VLOOKUP(Q27, concat!$J$2:$K$21,2), 'Lair Treasures'!O27="Missile Weapon or Missile", VLOOKUP(Q27, concat!$M$2:$N$21,2), 'Lair Treasures'!N27= "Spell Scroll", VLOOKUP(Q27, concat!$D$2:$E$21,2), 1=1, "")</f>
        <v/>
      </c>
      <c r="Q27" s="1">
        <f t="shared" ca="1" si="7"/>
        <v>6</v>
      </c>
      <c r="R27" s="1">
        <f t="shared" ca="1" si="8"/>
        <v>80</v>
      </c>
      <c r="AF27" s="1">
        <f t="shared" ca="1" si="16"/>
        <v>1</v>
      </c>
      <c r="AG27" s="1">
        <f t="shared" ca="1" si="16"/>
        <v>9</v>
      </c>
      <c r="AH27" s="1">
        <f t="shared" ca="1" si="17"/>
        <v>66</v>
      </c>
      <c r="AI27" s="1">
        <f t="shared" ca="1" si="14"/>
        <v>1</v>
      </c>
      <c r="AJ27" s="1">
        <f t="shared" ca="1" si="15"/>
        <v>1</v>
      </c>
      <c r="AO27" s="1">
        <f t="shared" ca="1" si="18"/>
        <v>98</v>
      </c>
      <c r="AP27" s="1">
        <f t="shared" ca="1" si="19"/>
        <v>49</v>
      </c>
      <c r="AS27" s="1">
        <f t="shared" ca="1" si="20"/>
        <v>69</v>
      </c>
      <c r="AV27" s="1">
        <f t="shared" ca="1" si="21"/>
        <v>-8</v>
      </c>
      <c r="AW27" s="1">
        <f t="shared" ca="1" si="22"/>
        <v>9</v>
      </c>
      <c r="AX27" t="s">
        <v>12</v>
      </c>
      <c r="AY27">
        <v>0</v>
      </c>
      <c r="AZ27">
        <v>10</v>
      </c>
      <c r="BA27">
        <v>20</v>
      </c>
      <c r="BB27">
        <v>45</v>
      </c>
      <c r="BC27">
        <v>30</v>
      </c>
      <c r="BE27">
        <v>10</v>
      </c>
      <c r="BF27" t="s">
        <v>85</v>
      </c>
      <c r="BG27">
        <f t="shared" ca="1" si="23"/>
        <v>720</v>
      </c>
      <c r="BQ27">
        <v>22</v>
      </c>
      <c r="BR27" t="s">
        <v>144</v>
      </c>
      <c r="BT27" t="s">
        <v>11</v>
      </c>
      <c r="BU27" t="s">
        <v>346</v>
      </c>
      <c r="BW27">
        <v>22</v>
      </c>
      <c r="BX27" t="s">
        <v>144</v>
      </c>
      <c r="BY27">
        <v>22</v>
      </c>
      <c r="BZ27" t="s">
        <v>150</v>
      </c>
      <c r="CA27">
        <v>22</v>
      </c>
      <c r="CB27" t="s">
        <v>144</v>
      </c>
      <c r="CC27">
        <v>22</v>
      </c>
      <c r="CD27" t="s">
        <v>145</v>
      </c>
      <c r="CF27">
        <v>23</v>
      </c>
      <c r="CG27" t="s">
        <v>170</v>
      </c>
      <c r="CI27">
        <v>23</v>
      </c>
      <c r="CJ27" t="s">
        <v>177</v>
      </c>
      <c r="CL27">
        <v>23</v>
      </c>
      <c r="CM27" t="s">
        <v>243</v>
      </c>
      <c r="CO27">
        <v>23</v>
      </c>
      <c r="CP27" t="s">
        <v>269</v>
      </c>
      <c r="CR27">
        <v>23</v>
      </c>
      <c r="CS27" t="s">
        <v>312</v>
      </c>
      <c r="CU27">
        <v>23</v>
      </c>
      <c r="CV27" t="s">
        <v>340</v>
      </c>
      <c r="CX27">
        <v>23</v>
      </c>
      <c r="CY27">
        <v>1</v>
      </c>
      <c r="DA27">
        <v>23</v>
      </c>
      <c r="DB27">
        <v>1</v>
      </c>
      <c r="DD27">
        <v>23</v>
      </c>
      <c r="DE27">
        <v>1</v>
      </c>
      <c r="DG27">
        <v>23</v>
      </c>
      <c r="DH27" t="s">
        <v>368</v>
      </c>
      <c r="DK27">
        <v>23</v>
      </c>
      <c r="DL27" t="s">
        <v>472</v>
      </c>
      <c r="DN27">
        <v>23</v>
      </c>
      <c r="DO27" t="s">
        <v>523</v>
      </c>
    </row>
    <row r="28" spans="3:122" x14ac:dyDescent="0.3">
      <c r="C28" s="5"/>
      <c r="D28" t="str">
        <f t="shared" ca="1" si="5"/>
        <v>Carbuncle</v>
      </c>
      <c r="E28" cm="1">
        <f t="array" aca="1" ref="E28" ca="1">_xlfn.IFS(D28="","",D28="Starstone", VLOOKUP($BK$4,$BK$6:$BM$11,3)*AI31*AJ31, D28 = "Tristal", VLOOKUP($BK$14,$BK$16:$BM$24,3)*AI31*AJ31, 1=1, VLOOKUP(AO31,$AX$75:$AZ$174,3)*AI31*AJ31)</f>
        <v>1000</v>
      </c>
      <c r="F28" t="str" cm="1">
        <f t="array" aca="1" ref="F28" ca="1">IF(D28="","",_xlfn.IFS(AH31&gt;5,"Normal",AND(AH31&lt;=5,$BK$28&lt;=4),VLOOKUP(AF31,$BK$29:$BN$39,2),AND(AH31&lt;=5,$BK$28&gt;=9),VLOOKUP(AF31,$BK$29:$BN$39,2), 1=1, "Normal"))</f>
        <v>Normal</v>
      </c>
      <c r="G28" t="str" cm="1">
        <f t="array" aca="1" ref="G28" ca="1">IF(D28="","",_xlfn.IFS(AH31&gt;5, "Normal", AND(AH31&lt;=5, $BL$28&lt;=8, $BL$28&gt;=5), VLOOKUP(AG31,$BK$29:$BN$39,3), AND(AH31&lt;=5,$BK$28&gt;=9), VLOOKUP(AG31,$BK$29:$BN$39,3), 1=1, "Normal"))</f>
        <v>Normal</v>
      </c>
      <c r="H28" t="str">
        <f t="shared" ca="1" si="2"/>
        <v/>
      </c>
      <c r="I28" t="str">
        <f t="shared" ca="1" si="3"/>
        <v/>
      </c>
      <c r="J28" s="5"/>
      <c r="K28" t="str" cm="1">
        <f t="array" aca="1" ref="K28" ca="1">IF(L28="","",(_xlfn.IFS(L28&gt;=15000,VLOOKUP(AW31,$BE$5:$BH$15,4),L28&gt;=4000,VLOOKUP(AW31,$BE$5:$BH$15,3),L28&gt;=100,VLOOKUP(AW31,$BE$5:$BH$15,2))))</f>
        <v/>
      </c>
      <c r="L28" t="str">
        <f t="shared" ca="1" si="4"/>
        <v/>
      </c>
      <c r="M28" s="5"/>
      <c r="P28" t="str" cm="1">
        <f t="array" aca="1" ref="P28" ca="1">_xlfn.IFS(O28="Sword", VLOOKUP(R28,concat!$A$2:$B$101, 2), 'Lair Treasures'!O28="Armor or Shield", VLOOKUP(Q28, concat!$G$2:$H$21,2), 'Lair Treasures'!O28="Misc. Weapon", VLOOKUP(Q28, concat!$J$2:$K$21,2), 'Lair Treasures'!O28="Missile Weapon or Missile", VLOOKUP(Q28, concat!$M$2:$N$21,2), 'Lair Treasures'!N28= "Spell Scroll", VLOOKUP(Q28, concat!$D$2:$E$21,2), 1=1, "")</f>
        <v/>
      </c>
      <c r="Q28" s="1">
        <f t="shared" ca="1" si="7"/>
        <v>11</v>
      </c>
      <c r="R28" s="1">
        <f t="shared" ca="1" si="8"/>
        <v>17</v>
      </c>
      <c r="AF28" s="1">
        <f t="shared" ca="1" si="16"/>
        <v>5</v>
      </c>
      <c r="AG28" s="1">
        <f t="shared" ca="1" si="16"/>
        <v>10</v>
      </c>
      <c r="AH28" s="1">
        <f t="shared" ca="1" si="17"/>
        <v>87</v>
      </c>
      <c r="AI28" s="1">
        <f t="shared" ca="1" si="14"/>
        <v>1</v>
      </c>
      <c r="AJ28" s="1">
        <f t="shared" ca="1" si="15"/>
        <v>1</v>
      </c>
      <c r="AO28" s="1">
        <f t="shared" ca="1" si="18"/>
        <v>37</v>
      </c>
      <c r="AP28" s="1">
        <f t="shared" ca="1" si="19"/>
        <v>48</v>
      </c>
      <c r="AS28" s="1">
        <f t="shared" ca="1" si="20"/>
        <v>20</v>
      </c>
      <c r="AV28" s="1">
        <f t="shared" ca="1" si="21"/>
        <v>-9</v>
      </c>
      <c r="AW28" s="1">
        <f t="shared" ca="1" si="22"/>
        <v>4</v>
      </c>
      <c r="AX28" t="s">
        <v>13</v>
      </c>
      <c r="AY28">
        <v>0</v>
      </c>
      <c r="AZ28">
        <v>0</v>
      </c>
      <c r="BA28">
        <v>0</v>
      </c>
      <c r="BB28">
        <v>50</v>
      </c>
      <c r="BC28">
        <v>50</v>
      </c>
      <c r="BE28">
        <v>11</v>
      </c>
      <c r="BF28" t="s">
        <v>86</v>
      </c>
      <c r="BG28">
        <f ca="1">RANDBETWEEN(1,4)</f>
        <v>3</v>
      </c>
      <c r="BK28">
        <f ca="1">RANDBETWEEN(1,10)</f>
        <v>6</v>
      </c>
      <c r="BL28">
        <f ca="1">BK28</f>
        <v>6</v>
      </c>
      <c r="BQ28">
        <v>23</v>
      </c>
      <c r="BR28" t="s">
        <v>144</v>
      </c>
      <c r="BT28" t="s">
        <v>12</v>
      </c>
      <c r="BU28" t="s">
        <v>577</v>
      </c>
      <c r="BW28">
        <v>23</v>
      </c>
      <c r="BX28" t="s">
        <v>144</v>
      </c>
      <c r="BY28">
        <v>23</v>
      </c>
      <c r="BZ28" t="s">
        <v>150</v>
      </c>
      <c r="CA28">
        <v>23</v>
      </c>
      <c r="CB28" t="s">
        <v>144</v>
      </c>
      <c r="CC28">
        <v>23</v>
      </c>
      <c r="CD28" t="s">
        <v>145</v>
      </c>
      <c r="CF28">
        <v>24</v>
      </c>
      <c r="CG28" t="s">
        <v>170</v>
      </c>
      <c r="CI28">
        <v>24</v>
      </c>
      <c r="CJ28" t="s">
        <v>210</v>
      </c>
      <c r="CL28">
        <v>24</v>
      </c>
      <c r="CM28" t="s">
        <v>243</v>
      </c>
      <c r="CO28">
        <v>24</v>
      </c>
      <c r="CP28" t="s">
        <v>270</v>
      </c>
      <c r="CR28">
        <v>24</v>
      </c>
      <c r="CS28" t="s">
        <v>313</v>
      </c>
      <c r="CU28">
        <v>24</v>
      </c>
      <c r="CV28" t="s">
        <v>340</v>
      </c>
      <c r="CX28">
        <v>24</v>
      </c>
      <c r="CY28">
        <v>1</v>
      </c>
      <c r="DA28">
        <v>24</v>
      </c>
      <c r="DB28">
        <v>1</v>
      </c>
      <c r="DD28">
        <v>24</v>
      </c>
      <c r="DE28">
        <v>1</v>
      </c>
      <c r="DG28">
        <v>24</v>
      </c>
      <c r="DH28" t="s">
        <v>369</v>
      </c>
      <c r="DK28">
        <v>24</v>
      </c>
      <c r="DL28" t="s">
        <v>473</v>
      </c>
      <c r="DN28">
        <v>24</v>
      </c>
      <c r="DO28" t="s">
        <v>524</v>
      </c>
    </row>
    <row r="29" spans="3:122" x14ac:dyDescent="0.3">
      <c r="C29" s="5"/>
      <c r="D29" t="str">
        <f t="shared" ca="1" si="5"/>
        <v>Carbuncle</v>
      </c>
      <c r="E29" cm="1">
        <f t="array" aca="1" ref="E29" ca="1">_xlfn.IFS(D29="","",D29="Starstone", VLOOKUP($BK$4,$BK$6:$BM$11,3)*AI32*AJ32, D29 = "Tristal", VLOOKUP($BK$14,$BK$16:$BM$24,3)*AI32*AJ32, 1=1, VLOOKUP(AO32,$AX$75:$AZ$174,3)*AI32*AJ32)</f>
        <v>1000</v>
      </c>
      <c r="F29" t="str" cm="1">
        <f t="array" aca="1" ref="F29" ca="1">IF(D29="","",_xlfn.IFS(AH32&gt;5,"Normal",AND(AH32&lt;=5,$BK$28&lt;=4),VLOOKUP(AF32,$BK$29:$BN$39,2),AND(AH32&lt;=5,$BK$28&gt;=9),VLOOKUP(AF32,$BK$29:$BN$39,2), 1=1, "Normal"))</f>
        <v>Normal</v>
      </c>
      <c r="G29" t="str" cm="1">
        <f t="array" aca="1" ref="G29" ca="1">IF(D29="","",_xlfn.IFS(AH32&gt;5, "Normal", AND(AH32&lt;=5, $BL$28&lt;=8, $BL$28&gt;=5), VLOOKUP(AG32,$BK$29:$BN$39,3), AND(AH32&lt;=5,$BK$28&gt;=9), VLOOKUP(AG32,$BK$29:$BN$39,3), 1=1, "Normal"))</f>
        <v>Normal</v>
      </c>
      <c r="H29" t="str">
        <f t="shared" ca="1" si="2"/>
        <v/>
      </c>
      <c r="I29" t="str">
        <f t="shared" ca="1" si="3"/>
        <v/>
      </c>
      <c r="J29" s="5"/>
      <c r="K29" t="str" cm="1">
        <f t="array" aca="1" ref="K29" ca="1">IF(L29="","",(_xlfn.IFS(L29&gt;=15000,VLOOKUP(AW32,$BE$5:$BH$15,4),L29&gt;=4000,VLOOKUP(AW32,$BE$5:$BH$15,3),L29&gt;=100,VLOOKUP(AW32,$BE$5:$BH$15,2))))</f>
        <v/>
      </c>
      <c r="L29" t="str">
        <f t="shared" ca="1" si="4"/>
        <v/>
      </c>
      <c r="M29" s="5"/>
      <c r="P29" t="str" cm="1">
        <f t="array" aca="1" ref="P29" ca="1">_xlfn.IFS(O29="Sword", VLOOKUP(R29,concat!$A$2:$B$101, 2), 'Lair Treasures'!O29="Armor or Shield", VLOOKUP(Q29, concat!$G$2:$H$21,2), 'Lair Treasures'!O29="Misc. Weapon", VLOOKUP(Q29, concat!$J$2:$K$21,2), 'Lair Treasures'!O29="Missile Weapon or Missile", VLOOKUP(Q29, concat!$M$2:$N$21,2), 'Lair Treasures'!N29= "Spell Scroll", VLOOKUP(Q29, concat!$D$2:$E$21,2), 1=1, "")</f>
        <v/>
      </c>
      <c r="Q29" s="1">
        <f t="shared" ca="1" si="7"/>
        <v>8</v>
      </c>
      <c r="R29" s="1">
        <f t="shared" ca="1" si="8"/>
        <v>43</v>
      </c>
      <c r="AF29" s="1">
        <f t="shared" ca="1" si="16"/>
        <v>6</v>
      </c>
      <c r="AG29" s="1">
        <f t="shared" ca="1" si="16"/>
        <v>3</v>
      </c>
      <c r="AH29" s="1">
        <f t="shared" ca="1" si="17"/>
        <v>58</v>
      </c>
      <c r="AI29" s="1">
        <f t="shared" ca="1" si="14"/>
        <v>1</v>
      </c>
      <c r="AJ29" s="1">
        <f t="shared" ca="1" si="15"/>
        <v>1</v>
      </c>
      <c r="AO29" s="1">
        <f t="shared" ca="1" si="18"/>
        <v>34</v>
      </c>
      <c r="AP29" s="1">
        <f t="shared" ca="1" si="19"/>
        <v>47</v>
      </c>
      <c r="AS29" s="1">
        <f t="shared" ca="1" si="20"/>
        <v>18</v>
      </c>
      <c r="AV29" s="1">
        <f t="shared" ca="1" si="21"/>
        <v>-10</v>
      </c>
      <c r="AW29" s="1">
        <f t="shared" ca="1" si="22"/>
        <v>6</v>
      </c>
      <c r="AX29" t="s">
        <v>14</v>
      </c>
      <c r="AY29">
        <v>25</v>
      </c>
      <c r="AZ29">
        <v>50</v>
      </c>
      <c r="BA29">
        <v>50</v>
      </c>
      <c r="BB29">
        <v>50</v>
      </c>
      <c r="BC29">
        <v>25</v>
      </c>
      <c r="BE29">
        <v>12</v>
      </c>
      <c r="BF29" t="s">
        <v>86</v>
      </c>
      <c r="BG29">
        <f ca="1">RANDBETWEEN(1,4)</f>
        <v>2</v>
      </c>
      <c r="BL29" t="s">
        <v>116</v>
      </c>
      <c r="BM29" t="s">
        <v>117</v>
      </c>
      <c r="BN29" t="s">
        <v>118</v>
      </c>
      <c r="BQ29">
        <v>24</v>
      </c>
      <c r="BR29" t="s">
        <v>144</v>
      </c>
      <c r="BT29" t="s">
        <v>13</v>
      </c>
      <c r="BU29" t="s">
        <v>346</v>
      </c>
      <c r="BW29">
        <v>24</v>
      </c>
      <c r="BX29" t="s">
        <v>144</v>
      </c>
      <c r="BY29">
        <v>24</v>
      </c>
      <c r="BZ29" t="s">
        <v>150</v>
      </c>
      <c r="CA29">
        <v>24</v>
      </c>
      <c r="CB29" t="s">
        <v>144</v>
      </c>
      <c r="CC29">
        <v>24</v>
      </c>
      <c r="CD29" t="s">
        <v>145</v>
      </c>
      <c r="CF29">
        <v>25</v>
      </c>
      <c r="CG29" t="s">
        <v>171</v>
      </c>
      <c r="CI29">
        <v>25</v>
      </c>
      <c r="CJ29" t="s">
        <v>210</v>
      </c>
      <c r="CL29">
        <v>25</v>
      </c>
      <c r="CM29" t="s">
        <v>243</v>
      </c>
      <c r="CO29">
        <v>25</v>
      </c>
      <c r="CP29" t="s">
        <v>271</v>
      </c>
      <c r="CR29">
        <v>25</v>
      </c>
      <c r="CS29" t="s">
        <v>313</v>
      </c>
      <c r="CU29">
        <v>25</v>
      </c>
      <c r="CV29" t="s">
        <v>340</v>
      </c>
      <c r="CX29">
        <v>25</v>
      </c>
      <c r="CY29">
        <v>1</v>
      </c>
      <c r="DA29">
        <v>25</v>
      </c>
      <c r="DB29">
        <v>1</v>
      </c>
      <c r="DD29">
        <v>25</v>
      </c>
      <c r="DE29">
        <v>1</v>
      </c>
      <c r="DG29">
        <v>25</v>
      </c>
      <c r="DH29" t="s">
        <v>370</v>
      </c>
      <c r="DK29">
        <v>25</v>
      </c>
      <c r="DL29" t="s">
        <v>395</v>
      </c>
      <c r="DN29">
        <v>25</v>
      </c>
      <c r="DO29" t="s">
        <v>525</v>
      </c>
    </row>
    <row r="30" spans="3:122" x14ac:dyDescent="0.3">
      <c r="C30" s="5"/>
      <c r="D30" t="str">
        <f t="shared" ca="1" si="5"/>
        <v>Coral</v>
      </c>
      <c r="E30" cm="1">
        <f t="array" aca="1" ref="E30" ca="1">_xlfn.IFS(D30="","",D30="Starstone", VLOOKUP($BK$4,$BK$6:$BM$11,3)*AI33*AJ33, D30 = "Tristal", VLOOKUP($BK$14,$BK$16:$BM$24,3)*AI33*AJ33, 1=1, VLOOKUP(AO33,$AX$75:$AZ$174,3)*AI33*AJ33)</f>
        <v>100</v>
      </c>
      <c r="F30" t="str" cm="1">
        <f t="array" aca="1" ref="F30" ca="1">IF(D30="","",_xlfn.IFS(AH33&gt;5,"Normal",AND(AH33&lt;=5,$BK$28&lt;=4),VLOOKUP(AF33,$BK$29:$BN$39,2),AND(AH33&lt;=5,$BK$28&gt;=9),VLOOKUP(AF33,$BK$29:$BN$39,2), 1=1, "Normal"))</f>
        <v>Normal</v>
      </c>
      <c r="G30" t="str" cm="1">
        <f t="array" aca="1" ref="G30" ca="1">IF(D30="","",_xlfn.IFS(AH33&gt;5, "Normal", AND(AH33&lt;=5, $BL$28&lt;=8, $BL$28&gt;=5), VLOOKUP(AG33,$BK$29:$BN$39,3), AND(AH33&lt;=5,$BK$28&gt;=9), VLOOKUP(AG33,$BK$29:$BN$39,3), 1=1, "Normal"))</f>
        <v>Normal</v>
      </c>
      <c r="H30" t="str">
        <f t="shared" ca="1" si="2"/>
        <v/>
      </c>
      <c r="I30" t="str">
        <f t="shared" ca="1" si="3"/>
        <v/>
      </c>
      <c r="J30" s="5"/>
      <c r="K30" t="str" cm="1">
        <f t="array" aca="1" ref="K30" ca="1">IF(L30="","",(_xlfn.IFS(L30&gt;=15000,VLOOKUP(AW33,$BE$5:$BH$15,4),L30&gt;=4000,VLOOKUP(AW33,$BE$5:$BH$15,3),L30&gt;=100,VLOOKUP(AW33,$BE$5:$BH$15,2))))</f>
        <v/>
      </c>
      <c r="L30" t="str">
        <f t="shared" ca="1" si="4"/>
        <v/>
      </c>
      <c r="M30" s="5"/>
      <c r="P30" t="str" cm="1">
        <f t="array" aca="1" ref="P30" ca="1">_xlfn.IFS(O30="Sword", VLOOKUP(R30,concat!$A$2:$B$101, 2), 'Lair Treasures'!O30="Armor or Shield", VLOOKUP(Q30, concat!$G$2:$H$21,2), 'Lair Treasures'!O30="Misc. Weapon", VLOOKUP(Q30, concat!$J$2:$K$21,2), 'Lair Treasures'!O30="Missile Weapon or Missile", VLOOKUP(Q30, concat!$M$2:$N$21,2), 'Lair Treasures'!N30= "Spell Scroll", VLOOKUP(Q30, concat!$D$2:$E$21,2), 1=1, "")</f>
        <v/>
      </c>
      <c r="Q30" s="1">
        <f t="shared" ca="1" si="7"/>
        <v>2</v>
      </c>
      <c r="R30" s="1">
        <f t="shared" ca="1" si="8"/>
        <v>37</v>
      </c>
      <c r="AF30" s="1">
        <f t="shared" ca="1" si="16"/>
        <v>6</v>
      </c>
      <c r="AG30" s="1">
        <f t="shared" ca="1" si="16"/>
        <v>8</v>
      </c>
      <c r="AH30" s="1">
        <f t="shared" ca="1" si="17"/>
        <v>34</v>
      </c>
      <c r="AI30" s="1">
        <f t="shared" ca="1" si="14"/>
        <v>1</v>
      </c>
      <c r="AJ30" s="1">
        <f t="shared" ca="1" si="15"/>
        <v>1</v>
      </c>
      <c r="AO30" s="1">
        <f t="shared" ca="1" si="18"/>
        <v>46</v>
      </c>
      <c r="AP30" s="1">
        <f t="shared" ca="1" si="19"/>
        <v>46</v>
      </c>
      <c r="AS30" s="1">
        <f t="shared" ca="1" si="20"/>
        <v>54</v>
      </c>
      <c r="AV30" s="1">
        <f t="shared" ca="1" si="21"/>
        <v>-11</v>
      </c>
      <c r="AW30" s="1">
        <f t="shared" ca="1" si="22"/>
        <v>5</v>
      </c>
      <c r="AX30" t="s">
        <v>15</v>
      </c>
      <c r="AY30">
        <v>0</v>
      </c>
      <c r="AZ30">
        <v>0</v>
      </c>
      <c r="BA30">
        <v>0</v>
      </c>
      <c r="BB30">
        <v>0</v>
      </c>
      <c r="BC30">
        <v>30</v>
      </c>
      <c r="BE30">
        <v>13</v>
      </c>
      <c r="BF30" t="s">
        <v>87</v>
      </c>
      <c r="BG30">
        <f ca="1">RANDBETWEEN(1,6)*100</f>
        <v>600</v>
      </c>
      <c r="BK30">
        <v>1</v>
      </c>
      <c r="BL30" t="s">
        <v>119</v>
      </c>
      <c r="BM30" t="s">
        <v>120</v>
      </c>
      <c r="BN30">
        <f>1/8</f>
        <v>0.125</v>
      </c>
      <c r="BQ30">
        <v>25</v>
      </c>
      <c r="BR30" t="s">
        <v>144</v>
      </c>
      <c r="BT30" t="s">
        <v>14</v>
      </c>
      <c r="BU30" t="s">
        <v>346</v>
      </c>
      <c r="BW30">
        <v>25</v>
      </c>
      <c r="BX30" t="s">
        <v>144</v>
      </c>
      <c r="BY30">
        <v>25</v>
      </c>
      <c r="BZ30" t="s">
        <v>150</v>
      </c>
      <c r="CA30">
        <v>25</v>
      </c>
      <c r="CB30" t="s">
        <v>144</v>
      </c>
      <c r="CC30">
        <v>25</v>
      </c>
      <c r="CD30" t="s">
        <v>145</v>
      </c>
      <c r="CF30">
        <v>26</v>
      </c>
      <c r="CG30" t="s">
        <v>172</v>
      </c>
      <c r="CI30">
        <v>26</v>
      </c>
      <c r="CJ30" t="s">
        <v>210</v>
      </c>
      <c r="CL30">
        <v>26</v>
      </c>
      <c r="CM30" t="s">
        <v>244</v>
      </c>
      <c r="CO30">
        <v>26</v>
      </c>
      <c r="CP30" t="s">
        <v>271</v>
      </c>
      <c r="CR30">
        <v>26</v>
      </c>
      <c r="CS30" t="s">
        <v>313</v>
      </c>
      <c r="CU30">
        <v>26</v>
      </c>
      <c r="CV30" t="s">
        <v>340</v>
      </c>
      <c r="CX30">
        <v>26</v>
      </c>
      <c r="CY30">
        <v>1</v>
      </c>
      <c r="DA30">
        <v>26</v>
      </c>
      <c r="DB30">
        <v>1</v>
      </c>
      <c r="DD30">
        <v>26</v>
      </c>
      <c r="DE30">
        <v>1</v>
      </c>
      <c r="DG30">
        <v>26</v>
      </c>
      <c r="DH30" t="s">
        <v>371</v>
      </c>
      <c r="DI30">
        <v>2</v>
      </c>
      <c r="DK30">
        <v>26</v>
      </c>
      <c r="DL30" t="s">
        <v>475</v>
      </c>
      <c r="DN30">
        <v>26</v>
      </c>
      <c r="DO30" t="s">
        <v>526</v>
      </c>
    </row>
    <row r="31" spans="3:122" x14ac:dyDescent="0.3">
      <c r="D31" t="str">
        <f t="shared" ca="1" si="5"/>
        <v>Carbuncle</v>
      </c>
      <c r="E31" cm="1">
        <f t="array" aca="1" ref="E31" ca="1">_xlfn.IFS(D31="","",D31="Starstone", VLOOKUP($BK$4,$BK$6:$BM$11,3)*AI34*AJ34, D31 = "Tristal", VLOOKUP($BK$14,$BK$16:$BM$24,3)*AI34*AJ34, 1=1, VLOOKUP(AO34,$AX$75:$AZ$174,3)*AI34*AJ34)</f>
        <v>1000</v>
      </c>
      <c r="F31" t="str" cm="1">
        <f t="array" aca="1" ref="F31" ca="1">IF(D31="","",_xlfn.IFS(AH34&gt;5,"Normal",AND(AH34&lt;=5,$BK$28&lt;=4),VLOOKUP(AF34,$BK$29:$BN$39,2),AND(AH34&lt;=5,$BK$28&gt;=9),VLOOKUP(AF34,$BK$29:$BN$39,2), 1=1, "Normal"))</f>
        <v>Normal</v>
      </c>
      <c r="G31" t="str" cm="1">
        <f t="array" aca="1" ref="G31" ca="1">IF(D31="","",_xlfn.IFS(AH34&gt;5, "Normal", AND(AH34&lt;=5, $BL$28&lt;=8, $BL$28&gt;=5), VLOOKUP(AG34,$BK$29:$BN$39,3), AND(AH34&lt;=5,$BK$28&gt;=9), VLOOKUP(AG34,$BK$29:$BN$39,3), 1=1, "Normal"))</f>
        <v>Normal</v>
      </c>
      <c r="H31" t="str">
        <f t="shared" ca="1" si="2"/>
        <v/>
      </c>
      <c r="I31" t="str">
        <f t="shared" ca="1" si="3"/>
        <v/>
      </c>
      <c r="K31" t="str" cm="1">
        <f t="array" aca="1" ref="K31" ca="1">IF(L31="","",(_xlfn.IFS(L31&gt;=15000,VLOOKUP(AW34,$BE$5:$BH$15,4),L31&gt;=4000,VLOOKUP(AW34,$BE$5:$BH$15,3),L31&gt;=100,VLOOKUP(AW34,$BE$5:$BH$15,2))))</f>
        <v/>
      </c>
      <c r="L31" t="str">
        <f t="shared" ca="1" si="4"/>
        <v/>
      </c>
      <c r="N31" s="50">
        <f ca="1">Q7</f>
        <v>19</v>
      </c>
      <c r="P31" t="str" cm="1">
        <f t="array" aca="1" ref="P31" ca="1">_xlfn.IFS(O31="Sword", VLOOKUP(R31,concat!$A$2:$B$101, 2), 'Lair Treasures'!O31="Armor or Shield", VLOOKUP(Q31, concat!$G$2:$H$21,2), 'Lair Treasures'!O31="Misc. Weapon", VLOOKUP(Q31, concat!$J$2:$K$21,2), 'Lair Treasures'!O31="Missile Weapon or Missile", VLOOKUP(Q31, concat!$M$2:$N$21,2), 'Lair Treasures'!N31= "Spell Scroll", VLOOKUP(Q31, concat!$D$2:$E$21,2), 1=1, "")</f>
        <v/>
      </c>
      <c r="Q31" s="1">
        <f t="shared" ca="1" si="7"/>
        <v>1</v>
      </c>
      <c r="R31" s="1">
        <f t="shared" ca="1" si="8"/>
        <v>15</v>
      </c>
      <c r="AF31" s="1">
        <f t="shared" ca="1" si="16"/>
        <v>7</v>
      </c>
      <c r="AG31" s="1">
        <f t="shared" ca="1" si="16"/>
        <v>5</v>
      </c>
      <c r="AH31" s="1">
        <f t="shared" ca="1" si="17"/>
        <v>50</v>
      </c>
      <c r="AI31" s="1">
        <f t="shared" ca="1" si="14"/>
        <v>1</v>
      </c>
      <c r="AJ31" s="1">
        <f t="shared" ca="1" si="15"/>
        <v>1</v>
      </c>
      <c r="AO31" s="1">
        <f t="shared" ca="1" si="18"/>
        <v>58</v>
      </c>
      <c r="AP31" s="1">
        <f t="shared" ca="1" si="19"/>
        <v>45</v>
      </c>
      <c r="AS31" s="1">
        <f t="shared" ca="1" si="20"/>
        <v>33</v>
      </c>
      <c r="AV31" s="1">
        <f t="shared" ca="1" si="21"/>
        <v>-12</v>
      </c>
      <c r="AW31" s="1">
        <f t="shared" ca="1" si="22"/>
        <v>1</v>
      </c>
      <c r="AX31" t="s">
        <v>16</v>
      </c>
      <c r="AY31">
        <v>25</v>
      </c>
      <c r="AZ31">
        <v>10</v>
      </c>
      <c r="BA31">
        <v>0</v>
      </c>
      <c r="BB31">
        <v>0</v>
      </c>
      <c r="BC31">
        <v>0</v>
      </c>
      <c r="BE31">
        <v>14</v>
      </c>
      <c r="BF31" t="s">
        <v>87</v>
      </c>
      <c r="BG31">
        <f t="shared" ref="BG31:BG34" ca="1" si="24">RANDBETWEEN(1,6)*100</f>
        <v>400</v>
      </c>
      <c r="BK31">
        <v>2</v>
      </c>
      <c r="BL31" t="s">
        <v>121</v>
      </c>
      <c r="BM31" t="s">
        <v>122</v>
      </c>
      <c r="BN31">
        <f>1/4</f>
        <v>0.25</v>
      </c>
      <c r="BQ31">
        <v>26</v>
      </c>
      <c r="BR31" t="s">
        <v>145</v>
      </c>
      <c r="BT31" t="s">
        <v>15</v>
      </c>
      <c r="BU31" t="s">
        <v>346</v>
      </c>
      <c r="BW31">
        <v>26</v>
      </c>
      <c r="BX31" t="s">
        <v>145</v>
      </c>
      <c r="BY31">
        <v>26</v>
      </c>
      <c r="BZ31" t="s">
        <v>150</v>
      </c>
      <c r="CA31">
        <v>26</v>
      </c>
      <c r="CB31" t="s">
        <v>144</v>
      </c>
      <c r="CC31">
        <v>26</v>
      </c>
      <c r="CD31" t="s">
        <v>145</v>
      </c>
      <c r="CF31">
        <v>27</v>
      </c>
      <c r="CG31" t="s">
        <v>172</v>
      </c>
      <c r="CI31">
        <v>27</v>
      </c>
      <c r="CJ31" t="s">
        <v>186</v>
      </c>
      <c r="CL31">
        <v>27</v>
      </c>
      <c r="CM31" t="s">
        <v>244</v>
      </c>
      <c r="CO31">
        <v>27</v>
      </c>
      <c r="CP31" t="s">
        <v>271</v>
      </c>
      <c r="CR31">
        <v>27</v>
      </c>
      <c r="CS31" t="s">
        <v>313</v>
      </c>
      <c r="CU31">
        <v>27</v>
      </c>
      <c r="CV31" t="s">
        <v>340</v>
      </c>
      <c r="CX31">
        <v>27</v>
      </c>
      <c r="CY31">
        <v>1</v>
      </c>
      <c r="DA31">
        <v>27</v>
      </c>
      <c r="DB31">
        <v>1</v>
      </c>
      <c r="DD31">
        <v>27</v>
      </c>
      <c r="DE31">
        <v>1</v>
      </c>
      <c r="DG31">
        <v>27</v>
      </c>
      <c r="DH31" t="s">
        <v>166</v>
      </c>
      <c r="DI31">
        <v>3</v>
      </c>
      <c r="DK31">
        <v>27</v>
      </c>
      <c r="DL31" t="s">
        <v>476</v>
      </c>
      <c r="DN31">
        <v>27</v>
      </c>
      <c r="DO31" t="s">
        <v>527</v>
      </c>
    </row>
    <row r="32" spans="3:122" x14ac:dyDescent="0.3">
      <c r="D32" t="str">
        <f t="shared" ca="1" si="5"/>
        <v>Topaz</v>
      </c>
      <c r="E32" cm="1">
        <f t="array" aca="1" ref="E32" ca="1">_xlfn.IFS(D32="","",D32="Starstone", VLOOKUP($BK$4,$BK$6:$BM$11,3)*AI35*AJ35, D32 = "Tristal", VLOOKUP($BK$14,$BK$16:$BM$24,3)*AI35*AJ35, 1=1, VLOOKUP(AO35,$AX$75:$AZ$174,3)*AI35*AJ35)</f>
        <v>500</v>
      </c>
      <c r="F32" t="str" cm="1">
        <f t="array" aca="1" ref="F32" ca="1">IF(D32="","",_xlfn.IFS(AH35&gt;5,"Normal",AND(AH35&lt;=5,$BK$28&lt;=4),VLOOKUP(AF35,$BK$29:$BN$39,2),AND(AH35&lt;=5,$BK$28&gt;=9),VLOOKUP(AF35,$BK$29:$BN$39,2), 1=1, "Normal"))</f>
        <v>Normal</v>
      </c>
      <c r="G32" t="str" cm="1">
        <f t="array" aca="1" ref="G32" ca="1">IF(D32="","",_xlfn.IFS(AH35&gt;5, "Normal", AND(AH35&lt;=5, $BL$28&lt;=8, $BL$28&gt;=5), VLOOKUP(AG35,$BK$29:$BN$39,3), AND(AH35&lt;=5,$BK$28&gt;=9), VLOOKUP(AG35,$BK$29:$BN$39,3), 1=1, "Normal"))</f>
        <v>Normal</v>
      </c>
      <c r="H32" t="str">
        <f t="shared" ca="1" si="2"/>
        <v/>
      </c>
      <c r="I32" t="str">
        <f t="shared" ca="1" si="3"/>
        <v/>
      </c>
      <c r="K32" t="str" cm="1">
        <f t="array" aca="1" ref="K32" ca="1">IF(L32="","",(_xlfn.IFS(L32&gt;=15000,VLOOKUP(AW35,$BE$5:$BH$15,4),L32&gt;=4000,VLOOKUP(AW35,$BE$5:$BH$15,3),L32&gt;=100,VLOOKUP(AW35,$BE$5:$BH$15,2))))</f>
        <v/>
      </c>
      <c r="L32" t="str">
        <f t="shared" ca="1" si="4"/>
        <v/>
      </c>
      <c r="Q32" s="1">
        <f t="shared" ca="1" si="7"/>
        <v>20</v>
      </c>
      <c r="R32" s="1">
        <f t="shared" ca="1" si="8"/>
        <v>38</v>
      </c>
      <c r="AF32" s="1">
        <f t="shared" ca="1" si="16"/>
        <v>2</v>
      </c>
      <c r="AG32" s="1">
        <f t="shared" ca="1" si="16"/>
        <v>10</v>
      </c>
      <c r="AH32" s="1">
        <f t="shared" ca="1" si="17"/>
        <v>8</v>
      </c>
      <c r="AI32" s="1">
        <f t="shared" ca="1" si="14"/>
        <v>1</v>
      </c>
      <c r="AJ32" s="1">
        <f t="shared" ca="1" si="15"/>
        <v>1</v>
      </c>
      <c r="AO32" s="1">
        <f t="shared" ca="1" si="18"/>
        <v>52</v>
      </c>
      <c r="AP32" s="1">
        <f t="shared" ca="1" si="19"/>
        <v>44</v>
      </c>
      <c r="AS32" s="1">
        <f t="shared" ca="1" si="20"/>
        <v>13</v>
      </c>
      <c r="AV32" s="1">
        <f t="shared" ca="1" si="21"/>
        <v>-13</v>
      </c>
      <c r="AW32" s="1">
        <f t="shared" ca="1" si="22"/>
        <v>3</v>
      </c>
      <c r="AX32" t="s">
        <v>17</v>
      </c>
      <c r="AY32">
        <v>0</v>
      </c>
      <c r="AZ32">
        <v>30</v>
      </c>
      <c r="BA32">
        <v>10</v>
      </c>
      <c r="BB32">
        <v>0</v>
      </c>
      <c r="BC32">
        <v>0</v>
      </c>
      <c r="BE32">
        <v>15</v>
      </c>
      <c r="BF32" t="s">
        <v>87</v>
      </c>
      <c r="BG32">
        <f t="shared" ca="1" si="24"/>
        <v>600</v>
      </c>
      <c r="BK32">
        <v>3</v>
      </c>
      <c r="BL32" t="s">
        <v>121</v>
      </c>
      <c r="BM32" t="s">
        <v>122</v>
      </c>
      <c r="BN32">
        <f>1/4</f>
        <v>0.25</v>
      </c>
      <c r="BQ32">
        <v>27</v>
      </c>
      <c r="BR32" t="s">
        <v>145</v>
      </c>
      <c r="BT32" t="s">
        <v>16</v>
      </c>
      <c r="BW32">
        <v>27</v>
      </c>
      <c r="BX32" t="s">
        <v>145</v>
      </c>
      <c r="BY32">
        <v>27</v>
      </c>
      <c r="BZ32" t="s">
        <v>150</v>
      </c>
      <c r="CA32">
        <v>27</v>
      </c>
      <c r="CB32" t="s">
        <v>144</v>
      </c>
      <c r="CC32">
        <v>27</v>
      </c>
      <c r="CD32" t="s">
        <v>145</v>
      </c>
      <c r="CF32">
        <v>28</v>
      </c>
      <c r="CG32" t="s">
        <v>173</v>
      </c>
      <c r="CI32">
        <v>28</v>
      </c>
      <c r="CJ32" t="s">
        <v>187</v>
      </c>
      <c r="CL32">
        <v>28</v>
      </c>
      <c r="CM32" t="s">
        <v>244</v>
      </c>
      <c r="CO32">
        <v>28</v>
      </c>
      <c r="CP32" t="s">
        <v>272</v>
      </c>
      <c r="CR32">
        <v>28</v>
      </c>
      <c r="CS32" t="s">
        <v>313</v>
      </c>
      <c r="CU32">
        <v>28</v>
      </c>
      <c r="CV32" t="s">
        <v>340</v>
      </c>
      <c r="CX32">
        <v>28</v>
      </c>
      <c r="CY32">
        <v>1</v>
      </c>
      <c r="DA32">
        <v>28</v>
      </c>
      <c r="DB32">
        <v>1</v>
      </c>
      <c r="DD32">
        <v>28</v>
      </c>
      <c r="DE32">
        <v>1</v>
      </c>
      <c r="DG32">
        <v>28</v>
      </c>
      <c r="DH32" t="s">
        <v>372</v>
      </c>
      <c r="DK32">
        <v>28</v>
      </c>
      <c r="DL32" t="s">
        <v>477</v>
      </c>
      <c r="DN32">
        <v>28</v>
      </c>
      <c r="DO32" t="s">
        <v>419</v>
      </c>
    </row>
    <row r="33" spans="4:116" x14ac:dyDescent="0.3">
      <c r="D33" t="str">
        <f t="shared" ca="1" si="5"/>
        <v>Amber</v>
      </c>
      <c r="E33" cm="1">
        <f t="array" aca="1" ref="E33" ca="1">_xlfn.IFS(D33="","",D33="Starstone", VLOOKUP($BK$4,$BK$6:$BM$11,3)*AI36*AJ36, D33 = "Tristal", VLOOKUP($BK$14,$BK$16:$BM$24,3)*AI36*AJ36, 1=1, VLOOKUP(AO36,$AX$75:$AZ$174,3)*AI36*AJ36)</f>
        <v>100</v>
      </c>
      <c r="F33" t="str" cm="1">
        <f t="array" aca="1" ref="F33" ca="1">IF(D33="","",_xlfn.IFS(AH36&gt;5,"Normal",AND(AH36&lt;=5,$BK$28&lt;=4),VLOOKUP(AF36,$BK$29:$BN$39,2),AND(AH36&lt;=5,$BK$28&gt;=9),VLOOKUP(AF36,$BK$29:$BN$39,2), 1=1, "Normal"))</f>
        <v>Normal</v>
      </c>
      <c r="G33" t="str" cm="1">
        <f t="array" aca="1" ref="G33" ca="1">IF(D33="","",_xlfn.IFS(AH36&gt;5, "Normal", AND(AH36&lt;=5, $BL$28&lt;=8, $BL$28&gt;=5), VLOOKUP(AG36,$BK$29:$BN$39,3), AND(AH36&lt;=5,$BK$28&gt;=9), VLOOKUP(AG36,$BK$29:$BN$39,3), 1=1, "Normal"))</f>
        <v>Normal</v>
      </c>
      <c r="H33" t="str">
        <f t="shared" ca="1" si="2"/>
        <v/>
      </c>
      <c r="I33" t="str">
        <f t="shared" ca="1" si="3"/>
        <v/>
      </c>
      <c r="K33" t="str" cm="1">
        <f t="array" aca="1" ref="K33" ca="1">IF(L33="","",(_xlfn.IFS(L33&gt;=15000,VLOOKUP(AW36,$BE$5:$BH$15,4),L33&gt;=4000,VLOOKUP(AW36,$BE$5:$BH$15,3),L33&gt;=100,VLOOKUP(AW36,$BE$5:$BH$15,2))))</f>
        <v/>
      </c>
      <c r="L33" t="str">
        <f t="shared" ca="1" si="4"/>
        <v/>
      </c>
      <c r="Q33" s="1">
        <f t="shared" ca="1" si="7"/>
        <v>4</v>
      </c>
      <c r="R33" s="1">
        <f t="shared" ca="1" si="8"/>
        <v>84</v>
      </c>
      <c r="AF33" s="1">
        <f t="shared" ca="1" si="16"/>
        <v>2</v>
      </c>
      <c r="AG33" s="1">
        <f t="shared" ca="1" si="16"/>
        <v>3</v>
      </c>
      <c r="AH33" s="1">
        <f t="shared" ca="1" si="17"/>
        <v>95</v>
      </c>
      <c r="AI33" s="1">
        <f t="shared" ca="1" si="14"/>
        <v>1</v>
      </c>
      <c r="AJ33" s="1">
        <f t="shared" ca="1" si="15"/>
        <v>1</v>
      </c>
      <c r="AO33" s="1">
        <f t="shared" ca="1" si="18"/>
        <v>18</v>
      </c>
      <c r="AP33" s="1">
        <f t="shared" ca="1" si="19"/>
        <v>43</v>
      </c>
      <c r="AS33" s="1">
        <f t="shared" ca="1" si="20"/>
        <v>5</v>
      </c>
      <c r="AV33" s="1">
        <f t="shared" ca="1" si="21"/>
        <v>-14</v>
      </c>
      <c r="AW33" s="1">
        <f t="shared" ca="1" si="22"/>
        <v>5</v>
      </c>
      <c r="AX33" t="s">
        <v>18</v>
      </c>
      <c r="AY33">
        <v>0</v>
      </c>
      <c r="AZ33">
        <v>0</v>
      </c>
      <c r="BA33">
        <v>0</v>
      </c>
      <c r="BB33">
        <v>40</v>
      </c>
      <c r="BC33">
        <v>50</v>
      </c>
      <c r="BE33">
        <v>16</v>
      </c>
      <c r="BF33" t="s">
        <v>87</v>
      </c>
      <c r="BG33">
        <f t="shared" ca="1" si="24"/>
        <v>600</v>
      </c>
      <c r="BK33">
        <v>4</v>
      </c>
      <c r="BL33" t="s">
        <v>123</v>
      </c>
      <c r="BM33" t="s">
        <v>124</v>
      </c>
      <c r="BN33">
        <f>1/2</f>
        <v>0.5</v>
      </c>
      <c r="BQ33">
        <v>28</v>
      </c>
      <c r="BR33" t="s">
        <v>145</v>
      </c>
      <c r="BT33" t="s">
        <v>17</v>
      </c>
      <c r="BW33">
        <v>28</v>
      </c>
      <c r="BX33" t="s">
        <v>145</v>
      </c>
      <c r="BY33">
        <v>28</v>
      </c>
      <c r="BZ33" t="s">
        <v>150</v>
      </c>
      <c r="CA33">
        <v>28</v>
      </c>
      <c r="CB33" t="s">
        <v>144</v>
      </c>
      <c r="CC33">
        <v>28</v>
      </c>
      <c r="CD33" t="s">
        <v>145</v>
      </c>
      <c r="CF33">
        <v>29</v>
      </c>
      <c r="CG33" t="s">
        <v>174</v>
      </c>
      <c r="CI33">
        <v>29</v>
      </c>
      <c r="CJ33" t="s">
        <v>187</v>
      </c>
      <c r="CL33">
        <v>29</v>
      </c>
      <c r="CM33" t="s">
        <v>245</v>
      </c>
      <c r="CO33">
        <v>29</v>
      </c>
      <c r="CP33" t="s">
        <v>272</v>
      </c>
      <c r="CR33">
        <v>29</v>
      </c>
      <c r="CS33" t="s">
        <v>314</v>
      </c>
      <c r="CU33">
        <v>29</v>
      </c>
      <c r="CV33" t="s">
        <v>340</v>
      </c>
      <c r="CX33">
        <v>29</v>
      </c>
      <c r="CY33">
        <v>1</v>
      </c>
      <c r="DA33">
        <v>29</v>
      </c>
      <c r="DB33">
        <v>1</v>
      </c>
      <c r="DD33">
        <v>29</v>
      </c>
      <c r="DE33">
        <v>2</v>
      </c>
      <c r="DG33">
        <v>29</v>
      </c>
      <c r="DH33" t="s">
        <v>373</v>
      </c>
      <c r="DK33">
        <v>29</v>
      </c>
      <c r="DL33" t="s">
        <v>478</v>
      </c>
    </row>
    <row r="34" spans="4:116" x14ac:dyDescent="0.3">
      <c r="D34" t="str">
        <f t="shared" ca="1" si="5"/>
        <v>Aquamarine</v>
      </c>
      <c r="E34" cm="1">
        <f t="array" aca="1" ref="E34" ca="1">_xlfn.IFS(D34="","",D34="Starstone", VLOOKUP($BK$4,$BK$6:$BM$11,3)*AI37*AJ37, D34 = "Tristal", VLOOKUP($BK$14,$BK$16:$BM$24,3)*AI37*AJ37, 1=1, VLOOKUP(AO37,$AX$75:$AZ$174,3)*AI37*AJ37)</f>
        <v>500</v>
      </c>
      <c r="F34" t="str" cm="1">
        <f t="array" aca="1" ref="F34" ca="1">IF(D34="","",_xlfn.IFS(AH37&gt;5,"Normal",AND(AH37&lt;=5,$BK$28&lt;=4),VLOOKUP(AF37,$BK$29:$BN$39,2),AND(AH37&lt;=5,$BK$28&gt;=9),VLOOKUP(AF37,$BK$29:$BN$39,2), 1=1, "Normal"))</f>
        <v>Normal</v>
      </c>
      <c r="G34" t="str" cm="1">
        <f t="array" aca="1" ref="G34" ca="1">IF(D34="","",_xlfn.IFS(AH37&gt;5, "Normal", AND(AH37&lt;=5, $BL$28&lt;=8, $BL$28&gt;=5), VLOOKUP(AG37,$BK$29:$BN$39,3), AND(AH37&lt;=5,$BK$28&gt;=9), VLOOKUP(AG37,$BK$29:$BN$39,3), 1=1, "Normal"))</f>
        <v>Normal</v>
      </c>
      <c r="H34" t="str">
        <f t="shared" ca="1" si="2"/>
        <v/>
      </c>
      <c r="I34" t="str">
        <f t="shared" ca="1" si="3"/>
        <v/>
      </c>
      <c r="K34" t="str" cm="1">
        <f t="array" aca="1" ref="K34" ca="1">IF(L34="","",(_xlfn.IFS(L34&gt;=15000,VLOOKUP(AW37,$BE$5:$BH$15,4),L34&gt;=4000,VLOOKUP(AW37,$BE$5:$BH$15,3),L34&gt;=100,VLOOKUP(AW37,$BE$5:$BH$15,2))))</f>
        <v/>
      </c>
      <c r="L34" t="str">
        <f t="shared" ca="1" si="4"/>
        <v/>
      </c>
      <c r="Q34" s="1">
        <f t="shared" ca="1" si="7"/>
        <v>5</v>
      </c>
      <c r="R34" s="1">
        <f t="shared" ca="1" si="8"/>
        <v>90</v>
      </c>
      <c r="AF34" s="1">
        <f t="shared" ca="1" si="16"/>
        <v>5</v>
      </c>
      <c r="AG34" s="1">
        <f t="shared" ca="1" si="16"/>
        <v>2</v>
      </c>
      <c r="AH34" s="1">
        <f t="shared" ca="1" si="17"/>
        <v>6</v>
      </c>
      <c r="AI34" s="1">
        <f t="shared" ca="1" si="14"/>
        <v>1</v>
      </c>
      <c r="AJ34" s="1">
        <f t="shared" ca="1" si="15"/>
        <v>1</v>
      </c>
      <c r="AO34" s="1">
        <f t="shared" ca="1" si="18"/>
        <v>57</v>
      </c>
      <c r="AP34" s="1">
        <f t="shared" ca="1" si="19"/>
        <v>42</v>
      </c>
      <c r="AS34" s="1">
        <f t="shared" ca="1" si="20"/>
        <v>16</v>
      </c>
      <c r="AV34" s="1">
        <f t="shared" ca="1" si="21"/>
        <v>-15</v>
      </c>
      <c r="AW34" s="1">
        <f t="shared" ca="1" si="22"/>
        <v>6</v>
      </c>
      <c r="AX34" t="s">
        <v>19</v>
      </c>
      <c r="AY34">
        <v>0</v>
      </c>
      <c r="AZ34">
        <v>0</v>
      </c>
      <c r="BA34">
        <v>0</v>
      </c>
      <c r="BB34">
        <v>0</v>
      </c>
      <c r="BC34">
        <v>0</v>
      </c>
      <c r="BE34">
        <v>17</v>
      </c>
      <c r="BF34" t="s">
        <v>87</v>
      </c>
      <c r="BG34">
        <f t="shared" ca="1" si="24"/>
        <v>100</v>
      </c>
      <c r="BK34">
        <v>5</v>
      </c>
      <c r="BL34" t="s">
        <v>123</v>
      </c>
      <c r="BM34" t="s">
        <v>124</v>
      </c>
      <c r="BN34">
        <f>1/2</f>
        <v>0.5</v>
      </c>
      <c r="BQ34">
        <v>29</v>
      </c>
      <c r="BR34" t="s">
        <v>145</v>
      </c>
      <c r="BT34" t="s">
        <v>18</v>
      </c>
      <c r="BW34">
        <v>29</v>
      </c>
      <c r="BX34" t="s">
        <v>145</v>
      </c>
      <c r="BY34">
        <v>29</v>
      </c>
      <c r="BZ34" t="s">
        <v>150</v>
      </c>
      <c r="CA34">
        <v>29</v>
      </c>
      <c r="CB34" t="s">
        <v>144</v>
      </c>
      <c r="CC34">
        <v>29</v>
      </c>
      <c r="CD34" t="s">
        <v>145</v>
      </c>
      <c r="CF34">
        <v>30</v>
      </c>
      <c r="CG34" t="s">
        <v>174</v>
      </c>
      <c r="CI34">
        <v>30</v>
      </c>
      <c r="CJ34" t="s">
        <v>187</v>
      </c>
      <c r="CL34">
        <v>30</v>
      </c>
      <c r="CM34" t="s">
        <v>245</v>
      </c>
      <c r="CO34">
        <v>30</v>
      </c>
      <c r="CP34" t="s">
        <v>273</v>
      </c>
      <c r="CR34">
        <v>30</v>
      </c>
      <c r="CS34" t="s">
        <v>314</v>
      </c>
      <c r="CU34">
        <v>30</v>
      </c>
      <c r="CV34" t="s">
        <v>340</v>
      </c>
      <c r="CX34">
        <v>30</v>
      </c>
      <c r="CY34">
        <v>1</v>
      </c>
      <c r="DA34">
        <v>30</v>
      </c>
      <c r="DB34">
        <v>1</v>
      </c>
      <c r="DD34">
        <v>30</v>
      </c>
      <c r="DE34">
        <v>2</v>
      </c>
      <c r="DG34">
        <v>30</v>
      </c>
      <c r="DH34" t="s">
        <v>374</v>
      </c>
      <c r="DK34">
        <v>30</v>
      </c>
      <c r="DL34" t="s">
        <v>479</v>
      </c>
    </row>
    <row r="35" spans="4:116" x14ac:dyDescent="0.3">
      <c r="D35" t="str">
        <f t="shared" ca="1" si="5"/>
        <v>Ruby</v>
      </c>
      <c r="E35" cm="1">
        <f t="array" aca="1" ref="E35" ca="1">_xlfn.IFS(D35="","",D35="Starstone", VLOOKUP($BK$4,$BK$6:$BM$11,3)*AI38*AJ38, D35 = "Tristal", VLOOKUP($BK$14,$BK$16:$BM$24,3)*AI38*AJ38, 1=1, VLOOKUP(AO38,$AX$75:$AZ$174,3)*AI38*AJ38)</f>
        <v>5000</v>
      </c>
      <c r="F35" t="str" cm="1">
        <f t="array" aca="1" ref="F35" ca="1">IF(D35="","",_xlfn.IFS(AH38&gt;5,"Normal",AND(AH38&lt;=5,$BK$28&lt;=4),VLOOKUP(AF38,$BK$29:$BN$39,2),AND(AH38&lt;=5,$BK$28&gt;=9),VLOOKUP(AF38,$BK$29:$BN$39,2), 1=1, "Normal"))</f>
        <v>Normal</v>
      </c>
      <c r="G35" t="str" cm="1">
        <f t="array" aca="1" ref="G35" ca="1">IF(D35="","",_xlfn.IFS(AH38&gt;5, "Normal", AND(AH38&lt;=5, $BL$28&lt;=8, $BL$28&gt;=5), VLOOKUP(AG38,$BK$29:$BN$39,3), AND(AH38&lt;=5,$BK$28&gt;=9), VLOOKUP(AG38,$BK$29:$BN$39,3), 1=1, "Normal"))</f>
        <v>Normal</v>
      </c>
      <c r="H35" t="str">
        <f t="shared" ca="1" si="2"/>
        <v/>
      </c>
      <c r="I35" t="str">
        <f t="shared" ca="1" si="3"/>
        <v/>
      </c>
      <c r="K35" t="str" cm="1">
        <f t="array" aca="1" ref="K35" ca="1">IF(L35="","",(_xlfn.IFS(L35&gt;=15000,VLOOKUP(AW38,$BE$5:$BH$15,4),L35&gt;=4000,VLOOKUP(AW38,$BE$5:$BH$15,3),L35&gt;=100,VLOOKUP(AW38,$BE$5:$BH$15,2))))</f>
        <v/>
      </c>
      <c r="L35" t="str">
        <f t="shared" ca="1" si="4"/>
        <v/>
      </c>
      <c r="Q35" s="1">
        <f t="shared" ca="1" si="7"/>
        <v>5</v>
      </c>
      <c r="R35" s="1">
        <f t="shared" ca="1" si="8"/>
        <v>100</v>
      </c>
      <c r="AF35" s="1">
        <f t="shared" ca="1" si="16"/>
        <v>6</v>
      </c>
      <c r="AG35" s="1">
        <f t="shared" ca="1" si="16"/>
        <v>9</v>
      </c>
      <c r="AH35" s="1">
        <f t="shared" ca="1" si="17"/>
        <v>62</v>
      </c>
      <c r="AI35" s="1">
        <f t="shared" ca="1" si="14"/>
        <v>1</v>
      </c>
      <c r="AJ35" s="1">
        <f t="shared" ca="1" si="15"/>
        <v>1</v>
      </c>
      <c r="AO35" s="1">
        <f t="shared" ca="1" si="18"/>
        <v>37</v>
      </c>
      <c r="AP35" s="1">
        <f t="shared" ca="1" si="19"/>
        <v>41</v>
      </c>
      <c r="AS35" s="1">
        <f t="shared" ca="1" si="20"/>
        <v>77</v>
      </c>
      <c r="AV35" s="1">
        <f t="shared" ca="1" si="21"/>
        <v>-16</v>
      </c>
      <c r="AW35" s="1">
        <f t="shared" ca="1" si="22"/>
        <v>10</v>
      </c>
      <c r="AX35" t="s">
        <v>20</v>
      </c>
      <c r="AY35">
        <v>0</v>
      </c>
      <c r="AZ35">
        <v>0</v>
      </c>
      <c r="BA35">
        <v>0</v>
      </c>
      <c r="BB35">
        <v>0</v>
      </c>
      <c r="BC35">
        <v>0</v>
      </c>
      <c r="BE35">
        <v>18</v>
      </c>
      <c r="BF35" t="s">
        <v>88</v>
      </c>
      <c r="BG35">
        <f ca="1">(RANDBETWEEN(1,4)+RANDBETWEEN(1,4)+RANDBETWEEN(1,4))*100</f>
        <v>500</v>
      </c>
      <c r="BK35">
        <v>6</v>
      </c>
      <c r="BL35" t="s">
        <v>125</v>
      </c>
      <c r="BM35" t="s">
        <v>126</v>
      </c>
      <c r="BN35">
        <f>2</f>
        <v>2</v>
      </c>
      <c r="BQ35">
        <v>30</v>
      </c>
      <c r="BR35" t="s">
        <v>145</v>
      </c>
      <c r="BT35" t="s">
        <v>19</v>
      </c>
      <c r="BW35">
        <v>30</v>
      </c>
      <c r="BX35" t="s">
        <v>145</v>
      </c>
      <c r="BY35">
        <v>30</v>
      </c>
      <c r="BZ35" t="s">
        <v>150</v>
      </c>
      <c r="CA35">
        <v>30</v>
      </c>
      <c r="CB35" t="s">
        <v>144</v>
      </c>
      <c r="CC35">
        <v>30</v>
      </c>
      <c r="CD35" t="s">
        <v>145</v>
      </c>
      <c r="CF35">
        <v>31</v>
      </c>
      <c r="CG35" t="s">
        <v>175</v>
      </c>
      <c r="CI35">
        <v>31</v>
      </c>
      <c r="CJ35" t="s">
        <v>187</v>
      </c>
      <c r="CL35">
        <v>31</v>
      </c>
      <c r="CM35" t="s">
        <v>246</v>
      </c>
      <c r="CO35">
        <v>31</v>
      </c>
      <c r="CP35" t="s">
        <v>274</v>
      </c>
      <c r="CR35">
        <v>31</v>
      </c>
      <c r="CS35" t="s">
        <v>314</v>
      </c>
      <c r="CU35">
        <v>31</v>
      </c>
      <c r="CV35" t="s">
        <v>340</v>
      </c>
      <c r="CX35">
        <v>31</v>
      </c>
      <c r="CY35">
        <v>1</v>
      </c>
      <c r="DA35">
        <v>31</v>
      </c>
      <c r="DB35">
        <v>1</v>
      </c>
      <c r="DD35">
        <v>31</v>
      </c>
      <c r="DE35">
        <v>2</v>
      </c>
      <c r="DG35">
        <v>31</v>
      </c>
      <c r="DH35" t="s">
        <v>375</v>
      </c>
      <c r="DK35">
        <v>31</v>
      </c>
      <c r="DL35" t="s">
        <v>480</v>
      </c>
    </row>
    <row r="36" spans="4:116" x14ac:dyDescent="0.3">
      <c r="D36" t="str">
        <f t="shared" ca="1" si="5"/>
        <v>Opal</v>
      </c>
      <c r="E36" cm="1">
        <f t="array" aca="1" ref="E36" ca="1">_xlfn.IFS(D36="","",D36="Starstone", VLOOKUP($BK$4,$BK$6:$BM$11,3)*AI39*AJ39, D36 = "Tristal", VLOOKUP($BK$14,$BK$16:$BM$24,3)*AI39*AJ39, 1=1, VLOOKUP(AO39,$AX$75:$AZ$174,3)*AI39*AJ39)</f>
        <v>1000</v>
      </c>
      <c r="F36" t="str" cm="1">
        <f t="array" aca="1" ref="F36" ca="1">IF(D36="","",_xlfn.IFS(AH39&gt;5,"Normal",AND(AH39&lt;=5,$BK$28&lt;=4),VLOOKUP(AF39,$BK$29:$BN$39,2),AND(AH39&lt;=5,$BK$28&gt;=9),VLOOKUP(AF39,$BK$29:$BN$39,2), 1=1, "Normal"))</f>
        <v>Normal</v>
      </c>
      <c r="G36" t="str" cm="1">
        <f t="array" aca="1" ref="G36" ca="1">IF(D36="","",_xlfn.IFS(AH39&gt;5, "Normal", AND(AH39&lt;=5, $BL$28&lt;=8, $BL$28&gt;=5), VLOOKUP(AG39,$BK$29:$BN$39,3), AND(AH39&lt;=5,$BK$28&gt;=9), VLOOKUP(AG39,$BK$29:$BN$39,3), 1=1, "Normal"))</f>
        <v>Normal</v>
      </c>
      <c r="H36" t="str">
        <f t="shared" ca="1" si="2"/>
        <v/>
      </c>
      <c r="I36" t="str">
        <f t="shared" ca="1" si="3"/>
        <v/>
      </c>
      <c r="K36" t="str" cm="1">
        <f t="array" aca="1" ref="K36" ca="1">IF(L36="","",(_xlfn.IFS(L36&gt;=15000,VLOOKUP(AW39,$BE$5:$BH$15,4),L36&gt;=4000,VLOOKUP(AW39,$BE$5:$BH$15,3),L36&gt;=100,VLOOKUP(AW39,$BE$5:$BH$15,2))))</f>
        <v/>
      </c>
      <c r="L36" t="str">
        <f t="shared" ca="1" si="4"/>
        <v/>
      </c>
      <c r="Q36" s="1">
        <f t="shared" ca="1" si="7"/>
        <v>17</v>
      </c>
      <c r="R36" s="1">
        <f t="shared" ca="1" si="8"/>
        <v>70</v>
      </c>
      <c r="AF36" s="1">
        <f t="shared" ca="1" si="16"/>
        <v>7</v>
      </c>
      <c r="AG36" s="1">
        <f t="shared" ca="1" si="16"/>
        <v>1</v>
      </c>
      <c r="AH36" s="1">
        <f t="shared" ca="1" si="17"/>
        <v>30</v>
      </c>
      <c r="AI36" s="1">
        <f t="shared" ca="1" si="14"/>
        <v>1</v>
      </c>
      <c r="AJ36" s="1">
        <f t="shared" ca="1" si="15"/>
        <v>1</v>
      </c>
      <c r="AO36" s="1">
        <f t="shared" ca="1" si="18"/>
        <v>21</v>
      </c>
      <c r="AP36" s="1">
        <f t="shared" ca="1" si="19"/>
        <v>40</v>
      </c>
      <c r="AS36" s="1">
        <f t="shared" ca="1" si="20"/>
        <v>2</v>
      </c>
      <c r="AV36" s="1">
        <f t="shared" ca="1" si="21"/>
        <v>-17</v>
      </c>
      <c r="AW36" s="1">
        <f t="shared" ca="1" si="22"/>
        <v>4</v>
      </c>
      <c r="AX36" t="s">
        <v>21</v>
      </c>
      <c r="AY36">
        <v>0</v>
      </c>
      <c r="AZ36">
        <v>0</v>
      </c>
      <c r="BA36">
        <v>0</v>
      </c>
      <c r="BB36">
        <v>0</v>
      </c>
      <c r="BC36">
        <v>0</v>
      </c>
      <c r="BE36">
        <v>19</v>
      </c>
      <c r="BF36" t="s">
        <v>88</v>
      </c>
      <c r="BG36">
        <f t="shared" ref="BG36:BG37" ca="1" si="25">(RANDBETWEEN(1,4)+RANDBETWEEN(1,4)+RANDBETWEEN(1,4))*100</f>
        <v>500</v>
      </c>
      <c r="BK36">
        <v>7</v>
      </c>
      <c r="BL36" t="s">
        <v>125</v>
      </c>
      <c r="BM36" t="s">
        <v>126</v>
      </c>
      <c r="BN36">
        <f>2</f>
        <v>2</v>
      </c>
      <c r="BQ36">
        <v>31</v>
      </c>
      <c r="BR36" t="s">
        <v>145</v>
      </c>
      <c r="BT36" t="s">
        <v>20</v>
      </c>
      <c r="BU36" t="s">
        <v>579</v>
      </c>
      <c r="BW36">
        <v>31</v>
      </c>
      <c r="BX36" t="s">
        <v>145</v>
      </c>
      <c r="BY36">
        <v>31</v>
      </c>
      <c r="BZ36" t="s">
        <v>150</v>
      </c>
      <c r="CA36">
        <v>31</v>
      </c>
      <c r="CB36" t="s">
        <v>144</v>
      </c>
      <c r="CC36">
        <v>31</v>
      </c>
      <c r="CD36" t="s">
        <v>145</v>
      </c>
      <c r="CF36">
        <v>32</v>
      </c>
      <c r="CG36" t="s">
        <v>175</v>
      </c>
      <c r="CI36">
        <v>32</v>
      </c>
      <c r="CJ36" t="s">
        <v>187</v>
      </c>
      <c r="CL36">
        <v>32</v>
      </c>
      <c r="CM36" t="s">
        <v>247</v>
      </c>
      <c r="CO36">
        <v>32</v>
      </c>
      <c r="CP36" t="s">
        <v>275</v>
      </c>
      <c r="CR36">
        <v>32</v>
      </c>
      <c r="CS36" t="s">
        <v>314</v>
      </c>
      <c r="CU36">
        <v>32</v>
      </c>
      <c r="CV36" t="s">
        <v>340</v>
      </c>
      <c r="CX36">
        <v>32</v>
      </c>
      <c r="CY36">
        <v>1</v>
      </c>
      <c r="DA36">
        <v>32</v>
      </c>
      <c r="DB36">
        <v>1</v>
      </c>
      <c r="DD36">
        <v>32</v>
      </c>
      <c r="DE36">
        <v>2</v>
      </c>
      <c r="DG36">
        <v>32</v>
      </c>
      <c r="DH36" t="s">
        <v>376</v>
      </c>
      <c r="DK36">
        <v>32</v>
      </c>
      <c r="DL36" t="s">
        <v>481</v>
      </c>
    </row>
    <row r="37" spans="4:116" x14ac:dyDescent="0.3">
      <c r="D37" t="str">
        <f t="shared" ca="1" si="5"/>
        <v>Opal</v>
      </c>
      <c r="E37" cm="1">
        <f t="array" aca="1" ref="E37" ca="1">_xlfn.IFS(D37="","",D37="Starstone", VLOOKUP($BK$4,$BK$6:$BM$11,3)*AI40*AJ40, D37 = "Tristal", VLOOKUP($BK$14,$BK$16:$BM$24,3)*AI40*AJ40, 1=1, VLOOKUP(AO40,$AX$75:$AZ$174,3)*AI40*AJ40)</f>
        <v>1000</v>
      </c>
      <c r="F37" t="str" cm="1">
        <f t="array" aca="1" ref="F37" ca="1">IF(D37="","",_xlfn.IFS(AH40&gt;5,"Normal",AND(AH40&lt;=5,$BK$28&lt;=4),VLOOKUP(AF40,$BK$29:$BN$39,2),AND(AH40&lt;=5,$BK$28&gt;=9),VLOOKUP(AF40,$BK$29:$BN$39,2), 1=1, "Normal"))</f>
        <v>Normal</v>
      </c>
      <c r="G37" t="str" cm="1">
        <f t="array" aca="1" ref="G37" ca="1">IF(D37="","",_xlfn.IFS(AH40&gt;5, "Normal", AND(AH40&lt;=5, $BL$28&lt;=8, $BL$28&gt;=5), VLOOKUP(AG40,$BK$29:$BN$39,3), AND(AH40&lt;=5,$BK$28&gt;=9), VLOOKUP(AG40,$BK$29:$BN$39,3), 1=1, "Normal"))</f>
        <v>Normal</v>
      </c>
      <c r="H37" t="str">
        <f t="shared" ca="1" si="2"/>
        <v/>
      </c>
      <c r="I37" t="str">
        <f t="shared" ca="1" si="3"/>
        <v/>
      </c>
      <c r="K37" t="str" cm="1">
        <f t="array" aca="1" ref="K37" ca="1">IF(L37="","",(_xlfn.IFS(L37&gt;=15000,VLOOKUP(AW40,$BE$5:$BH$15,4),L37&gt;=4000,VLOOKUP(AW40,$BE$5:$BH$15,3),L37&gt;=100,VLOOKUP(AW40,$BE$5:$BH$15,2))))</f>
        <v/>
      </c>
      <c r="L37" t="str">
        <f t="shared" ca="1" si="4"/>
        <v/>
      </c>
      <c r="Q37" s="1">
        <f t="shared" ca="1" si="7"/>
        <v>20</v>
      </c>
      <c r="R37" s="1">
        <f t="shared" ca="1" si="8"/>
        <v>88</v>
      </c>
      <c r="AF37" s="1">
        <f t="shared" ca="1" si="16"/>
        <v>1</v>
      </c>
      <c r="AG37" s="1">
        <f t="shared" ca="1" si="16"/>
        <v>9</v>
      </c>
      <c r="AH37" s="1">
        <f t="shared" ca="1" si="17"/>
        <v>7</v>
      </c>
      <c r="AI37" s="1">
        <f t="shared" ca="1" si="14"/>
        <v>1</v>
      </c>
      <c r="AJ37" s="1">
        <f t="shared" ca="1" si="15"/>
        <v>1</v>
      </c>
      <c r="AO37" s="1">
        <f t="shared" ca="1" si="18"/>
        <v>26</v>
      </c>
      <c r="AP37" s="1">
        <f t="shared" ca="1" si="19"/>
        <v>39</v>
      </c>
      <c r="AS37" s="1">
        <f t="shared" ca="1" si="20"/>
        <v>36</v>
      </c>
      <c r="AV37" s="1">
        <f t="shared" ca="1" si="21"/>
        <v>-18</v>
      </c>
      <c r="AW37" s="1">
        <f t="shared" ca="1" si="22"/>
        <v>8</v>
      </c>
      <c r="BE37">
        <v>20</v>
      </c>
      <c r="BF37" t="s">
        <v>88</v>
      </c>
      <c r="BG37">
        <f t="shared" ca="1" si="25"/>
        <v>800</v>
      </c>
      <c r="BK37">
        <v>8</v>
      </c>
      <c r="BL37" t="s">
        <v>127</v>
      </c>
      <c r="BM37" t="s">
        <v>128</v>
      </c>
      <c r="BN37">
        <f>4</f>
        <v>4</v>
      </c>
      <c r="BQ37">
        <v>32</v>
      </c>
      <c r="BR37" t="s">
        <v>145</v>
      </c>
      <c r="BT37" t="s">
        <v>21</v>
      </c>
      <c r="BU37" t="s">
        <v>580</v>
      </c>
      <c r="BW37">
        <v>32</v>
      </c>
      <c r="BX37" t="s">
        <v>145</v>
      </c>
      <c r="BY37">
        <v>32</v>
      </c>
      <c r="BZ37" t="s">
        <v>150</v>
      </c>
      <c r="CA37">
        <v>32</v>
      </c>
      <c r="CB37" t="s">
        <v>144</v>
      </c>
      <c r="CC37">
        <v>32</v>
      </c>
      <c r="CD37" t="s">
        <v>145</v>
      </c>
      <c r="CF37">
        <v>33</v>
      </c>
      <c r="CG37" t="s">
        <v>176</v>
      </c>
      <c r="CI37">
        <v>33</v>
      </c>
      <c r="CJ37" t="s">
        <v>211</v>
      </c>
      <c r="CL37">
        <v>33</v>
      </c>
      <c r="CM37" t="s">
        <v>247</v>
      </c>
      <c r="CO37">
        <v>33</v>
      </c>
      <c r="CP37" t="s">
        <v>275</v>
      </c>
      <c r="CR37">
        <v>33</v>
      </c>
      <c r="CS37" t="s">
        <v>314</v>
      </c>
      <c r="CU37">
        <v>33</v>
      </c>
      <c r="CV37" t="s">
        <v>340</v>
      </c>
      <c r="CX37">
        <v>33</v>
      </c>
      <c r="CY37">
        <v>1</v>
      </c>
      <c r="DA37">
        <v>33</v>
      </c>
      <c r="DB37">
        <v>1</v>
      </c>
      <c r="DD37">
        <v>33</v>
      </c>
      <c r="DE37">
        <v>2</v>
      </c>
      <c r="DG37">
        <v>33</v>
      </c>
      <c r="DH37" t="s">
        <v>377</v>
      </c>
      <c r="DK37">
        <v>33</v>
      </c>
      <c r="DL37" t="s">
        <v>482</v>
      </c>
    </row>
    <row r="38" spans="4:116" x14ac:dyDescent="0.3">
      <c r="D38" t="str">
        <f t="shared" ca="1" si="5"/>
        <v>Aquamarine</v>
      </c>
      <c r="E38" cm="1">
        <f t="array" aca="1" ref="E38" ca="1">_xlfn.IFS(D38="","",D38="Starstone", VLOOKUP($BK$4,$BK$6:$BM$11,3)*AI41*AJ41, D38 = "Tristal", VLOOKUP($BK$14,$BK$16:$BM$24,3)*AI41*AJ41, 1=1, VLOOKUP(AO41,$AX$75:$AZ$174,3)*AI41*AJ41)</f>
        <v>500</v>
      </c>
      <c r="F38" t="str" cm="1">
        <f t="array" aca="1" ref="F38" ca="1">IF(D38="","",_xlfn.IFS(AH41&gt;5,"Normal",AND(AH41&lt;=5,$BK$28&lt;=4),VLOOKUP(AF41,$BK$29:$BN$39,2),AND(AH41&lt;=5,$BK$28&gt;=9),VLOOKUP(AF41,$BK$29:$BN$39,2), 1=1, "Normal"))</f>
        <v>Normal</v>
      </c>
      <c r="G38" t="str" cm="1">
        <f t="array" aca="1" ref="G38" ca="1">IF(D38="","",_xlfn.IFS(AH41&gt;5, "Normal", AND(AH41&lt;=5, $BL$28&lt;=8, $BL$28&gt;=5), VLOOKUP(AG41,$BK$29:$BN$39,3), AND(AH41&lt;=5,$BK$28&gt;=9), VLOOKUP(AG41,$BK$29:$BN$39,3), 1=1, "Normal"))</f>
        <v>Normal</v>
      </c>
      <c r="H38" t="str">
        <f t="shared" ca="1" si="2"/>
        <v/>
      </c>
      <c r="I38" t="str">
        <f t="shared" ca="1" si="3"/>
        <v/>
      </c>
      <c r="K38" t="str" cm="1">
        <f t="array" aca="1" ref="K38" ca="1">IF(L38="","",(_xlfn.IFS(L38&gt;=15000,VLOOKUP(AW41,$BE$5:$BH$15,4),L38&gt;=4000,VLOOKUP(AW41,$BE$5:$BH$15,3),L38&gt;=100,VLOOKUP(AW41,$BE$5:$BH$15,2))))</f>
        <v/>
      </c>
      <c r="L38" t="str">
        <f t="shared" ca="1" si="4"/>
        <v/>
      </c>
      <c r="Q38" s="1">
        <f t="shared" ca="1" si="7"/>
        <v>17</v>
      </c>
      <c r="R38" s="1">
        <f t="shared" ca="1" si="8"/>
        <v>21</v>
      </c>
      <c r="AF38" s="1">
        <f t="shared" ca="1" si="16"/>
        <v>6</v>
      </c>
      <c r="AG38" s="1">
        <f t="shared" ca="1" si="16"/>
        <v>9</v>
      </c>
      <c r="AH38" s="1">
        <f t="shared" ca="1" si="17"/>
        <v>54</v>
      </c>
      <c r="AI38" s="1">
        <f t="shared" ca="1" si="14"/>
        <v>1</v>
      </c>
      <c r="AJ38" s="1">
        <f t="shared" ca="1" si="15"/>
        <v>1</v>
      </c>
      <c r="AO38" s="1">
        <f t="shared" ca="1" si="18"/>
        <v>76</v>
      </c>
      <c r="AP38" s="1">
        <f t="shared" ca="1" si="19"/>
        <v>38</v>
      </c>
      <c r="AS38" s="1">
        <f t="shared" ca="1" si="20"/>
        <v>73</v>
      </c>
      <c r="AV38" s="1">
        <f t="shared" ca="1" si="21"/>
        <v>-19</v>
      </c>
      <c r="AW38" s="1">
        <f t="shared" ca="1" si="22"/>
        <v>9</v>
      </c>
      <c r="AY38" t="s">
        <v>23</v>
      </c>
      <c r="AZ38" t="s">
        <v>5</v>
      </c>
      <c r="BA38" t="s">
        <v>6</v>
      </c>
      <c r="BB38" t="s">
        <v>24</v>
      </c>
      <c r="BE38">
        <v>21</v>
      </c>
      <c r="BF38" t="s">
        <v>89</v>
      </c>
      <c r="BG38">
        <f ca="1">RANDBETWEEN(1,6)+RANDBETWEEN(1,6)</f>
        <v>7</v>
      </c>
      <c r="BK38">
        <v>9</v>
      </c>
      <c r="BL38" t="s">
        <v>127</v>
      </c>
      <c r="BM38" t="s">
        <v>128</v>
      </c>
      <c r="BN38">
        <f>4</f>
        <v>4</v>
      </c>
      <c r="BQ38">
        <v>33</v>
      </c>
      <c r="BR38" t="s">
        <v>145</v>
      </c>
      <c r="BW38">
        <v>33</v>
      </c>
      <c r="BX38" t="s">
        <v>145</v>
      </c>
      <c r="BY38">
        <v>33</v>
      </c>
      <c r="BZ38" t="s">
        <v>150</v>
      </c>
      <c r="CA38">
        <v>33</v>
      </c>
      <c r="CB38" t="s">
        <v>144</v>
      </c>
      <c r="CC38">
        <v>33</v>
      </c>
      <c r="CD38" t="s">
        <v>145</v>
      </c>
      <c r="CF38">
        <v>34</v>
      </c>
      <c r="CG38" t="s">
        <v>177</v>
      </c>
      <c r="CI38">
        <v>34</v>
      </c>
      <c r="CJ38" t="s">
        <v>211</v>
      </c>
      <c r="CL38">
        <v>34</v>
      </c>
      <c r="CM38" t="s">
        <v>247</v>
      </c>
      <c r="CO38">
        <v>34</v>
      </c>
      <c r="CP38" t="s">
        <v>276</v>
      </c>
      <c r="CR38">
        <v>34</v>
      </c>
      <c r="CS38" t="s">
        <v>315</v>
      </c>
      <c r="CU38">
        <v>34</v>
      </c>
      <c r="CV38" t="s">
        <v>340</v>
      </c>
      <c r="CX38">
        <v>34</v>
      </c>
      <c r="CY38">
        <v>1</v>
      </c>
      <c r="DA38">
        <v>34</v>
      </c>
      <c r="DB38">
        <v>1</v>
      </c>
      <c r="DD38">
        <v>34</v>
      </c>
      <c r="DE38">
        <v>2</v>
      </c>
      <c r="DG38">
        <v>34</v>
      </c>
      <c r="DH38" t="s">
        <v>378</v>
      </c>
      <c r="DK38">
        <v>34</v>
      </c>
      <c r="DL38" t="s">
        <v>483</v>
      </c>
    </row>
    <row r="39" spans="4:116" x14ac:dyDescent="0.3">
      <c r="D39" t="str">
        <f t="shared" ca="1" si="5"/>
        <v>Carbuncle</v>
      </c>
      <c r="E39" cm="1">
        <f t="array" aca="1" ref="E39" ca="1">_xlfn.IFS(D39="","",D39="Starstone", VLOOKUP($BK$4,$BK$6:$BM$11,3)*AI42*AJ42, D39 = "Tristal", VLOOKUP($BK$14,$BK$16:$BM$24,3)*AI42*AJ42, 1=1, VLOOKUP(AO42,$AX$75:$AZ$174,3)*AI42*AJ42)</f>
        <v>1000</v>
      </c>
      <c r="F39" t="str" cm="1">
        <f t="array" aca="1" ref="F39" ca="1">IF(D39="","",_xlfn.IFS(AH42&gt;5,"Normal",AND(AH42&lt;=5,$BK$28&lt;=4),VLOOKUP(AF42,$BK$29:$BN$39,2),AND(AH42&lt;=5,$BK$28&gt;=9),VLOOKUP(AF42,$BK$29:$BN$39,2), 1=1, "Normal"))</f>
        <v>Normal</v>
      </c>
      <c r="G39" t="str" cm="1">
        <f t="array" aca="1" ref="G39" ca="1">IF(D39="","",_xlfn.IFS(AH42&gt;5, "Normal", AND(AH42&lt;=5, $BL$28&lt;=8, $BL$28&gt;=5), VLOOKUP(AG42,$BK$29:$BN$39,3), AND(AH42&lt;=5,$BK$28&gt;=9), VLOOKUP(AG42,$BK$29:$BN$39,3), 1=1, "Normal"))</f>
        <v>Normal</v>
      </c>
      <c r="H39" t="str">
        <f t="shared" ca="1" si="2"/>
        <v/>
      </c>
      <c r="I39" t="str">
        <f t="shared" ca="1" si="3"/>
        <v/>
      </c>
      <c r="K39" t="str" cm="1">
        <f t="array" aca="1" ref="K39" ca="1">IF(L39="","",(_xlfn.IFS(L39&gt;=15000,VLOOKUP(AW42,$BE$5:$BH$15,4),L39&gt;=4000,VLOOKUP(AW42,$BE$5:$BH$15,3),L39&gt;=100,VLOOKUP(AW42,$BE$5:$BH$15,2))))</f>
        <v/>
      </c>
      <c r="L39" t="str">
        <f t="shared" ca="1" si="4"/>
        <v/>
      </c>
      <c r="Q39" s="1">
        <f t="shared" ca="1" si="7"/>
        <v>5</v>
      </c>
      <c r="R39" s="1">
        <f t="shared" ca="1" si="8"/>
        <v>94</v>
      </c>
      <c r="AF39" s="1">
        <f t="shared" ca="1" si="16"/>
        <v>3</v>
      </c>
      <c r="AG39" s="1">
        <f t="shared" ca="1" si="16"/>
        <v>6</v>
      </c>
      <c r="AH39" s="1">
        <f t="shared" ca="1" si="17"/>
        <v>56</v>
      </c>
      <c r="AI39" s="1">
        <f t="shared" ca="1" si="14"/>
        <v>1</v>
      </c>
      <c r="AJ39" s="1">
        <f t="shared" ca="1" si="15"/>
        <v>1</v>
      </c>
      <c r="AO39" s="1">
        <f t="shared" ca="1" si="18"/>
        <v>64</v>
      </c>
      <c r="AP39" s="1">
        <f t="shared" ca="1" si="19"/>
        <v>37</v>
      </c>
      <c r="AS39" s="1">
        <f t="shared" ca="1" si="20"/>
        <v>18</v>
      </c>
      <c r="AV39" s="1">
        <f t="shared" ca="1" si="21"/>
        <v>-20</v>
      </c>
      <c r="AW39" s="1">
        <f t="shared" ca="1" si="22"/>
        <v>4</v>
      </c>
      <c r="AX39" t="s">
        <v>7</v>
      </c>
      <c r="AY39">
        <v>50</v>
      </c>
      <c r="AZ39">
        <v>50</v>
      </c>
      <c r="BA39">
        <v>10</v>
      </c>
      <c r="BB39">
        <v>30</v>
      </c>
      <c r="BE39">
        <v>22</v>
      </c>
      <c r="BF39" t="s">
        <v>89</v>
      </c>
      <c r="BG39">
        <f ca="1">RANDBETWEEN(1,6)+RANDBETWEEN(1,6)</f>
        <v>2</v>
      </c>
      <c r="BK39">
        <v>10</v>
      </c>
      <c r="BL39" t="s">
        <v>129</v>
      </c>
      <c r="BM39" t="s">
        <v>130</v>
      </c>
      <c r="BN39">
        <f>8</f>
        <v>8</v>
      </c>
      <c r="BQ39">
        <v>34</v>
      </c>
      <c r="BR39" t="s">
        <v>145</v>
      </c>
      <c r="BW39">
        <v>34</v>
      </c>
      <c r="BX39" t="s">
        <v>145</v>
      </c>
      <c r="BY39">
        <v>34</v>
      </c>
      <c r="BZ39" t="s">
        <v>151</v>
      </c>
      <c r="CA39">
        <v>34</v>
      </c>
      <c r="CB39" t="s">
        <v>144</v>
      </c>
      <c r="CC39">
        <v>34</v>
      </c>
      <c r="CD39" t="s">
        <v>145</v>
      </c>
      <c r="CF39">
        <v>35</v>
      </c>
      <c r="CG39" t="s">
        <v>177</v>
      </c>
      <c r="CI39">
        <v>35</v>
      </c>
      <c r="CJ39" t="s">
        <v>211</v>
      </c>
      <c r="CL39">
        <v>35</v>
      </c>
      <c r="CM39" t="s">
        <v>248</v>
      </c>
      <c r="CO39">
        <v>35</v>
      </c>
      <c r="CP39" t="s">
        <v>277</v>
      </c>
      <c r="CR39">
        <v>35</v>
      </c>
      <c r="CS39" t="s">
        <v>315</v>
      </c>
      <c r="CU39">
        <v>35</v>
      </c>
      <c r="CV39" t="s">
        <v>340</v>
      </c>
      <c r="CX39">
        <v>35</v>
      </c>
      <c r="CY39">
        <v>1</v>
      </c>
      <c r="DA39">
        <v>35</v>
      </c>
      <c r="DB39">
        <v>2</v>
      </c>
      <c r="DD39">
        <v>35</v>
      </c>
      <c r="DE39">
        <v>2</v>
      </c>
      <c r="DG39">
        <v>35</v>
      </c>
      <c r="DH39" t="s">
        <v>379</v>
      </c>
      <c r="DK39">
        <v>35</v>
      </c>
      <c r="DL39" t="s">
        <v>484</v>
      </c>
    </row>
    <row r="40" spans="4:116" x14ac:dyDescent="0.3">
      <c r="D40" t="str">
        <f t="shared" ca="1" si="5"/>
        <v>Opal</v>
      </c>
      <c r="E40" cm="1">
        <f t="array" aca="1" ref="E40" ca="1">_xlfn.IFS(D40="","",D40="Starstone", VLOOKUP($BK$4,$BK$6:$BM$11,3)*AI43*AJ43, D40 = "Tristal", VLOOKUP($BK$14,$BK$16:$BM$24,3)*AI43*AJ43, 1=1, VLOOKUP(AO43,$AX$75:$AZ$174,3)*AI43*AJ43)</f>
        <v>1000</v>
      </c>
      <c r="F40" t="str" cm="1">
        <f t="array" aca="1" ref="F40" ca="1">IF(D40="","",_xlfn.IFS(AH43&gt;5,"Normal",AND(AH43&lt;=5,$BK$28&lt;=4),VLOOKUP(AF43,$BK$29:$BN$39,2),AND(AH43&lt;=5,$BK$28&gt;=9),VLOOKUP(AF43,$BK$29:$BN$39,2), 1=1, "Normal"))</f>
        <v>Normal</v>
      </c>
      <c r="G40" t="str" cm="1">
        <f t="array" aca="1" ref="G40" ca="1">IF(D40="","",_xlfn.IFS(AH43&gt;5, "Normal", AND(AH43&lt;=5, $BL$28&lt;=8, $BL$28&gt;=5), VLOOKUP(AG43,$BK$29:$BN$39,3), AND(AH43&lt;=5,$BK$28&gt;=9), VLOOKUP(AG43,$BK$29:$BN$39,3), 1=1, "Normal"))</f>
        <v>Normal</v>
      </c>
      <c r="H40" t="str">
        <f t="shared" ca="1" si="2"/>
        <v/>
      </c>
      <c r="I40" t="str">
        <f t="shared" ca="1" si="3"/>
        <v/>
      </c>
      <c r="K40" t="str" cm="1">
        <f t="array" aca="1" ref="K40" ca="1">IF(L40="","",(_xlfn.IFS(L40&gt;=15000,VLOOKUP(AW43,$BE$5:$BH$15,4),L40&gt;=4000,VLOOKUP(AW43,$BE$5:$BH$15,3),L40&gt;=100,VLOOKUP(AW43,$BE$5:$BH$15,2))))</f>
        <v/>
      </c>
      <c r="L40" t="str">
        <f t="shared" ca="1" si="4"/>
        <v/>
      </c>
      <c r="Q40" s="1">
        <f t="shared" ca="1" si="7"/>
        <v>20</v>
      </c>
      <c r="R40" s="1">
        <f t="shared" ca="1" si="8"/>
        <v>43</v>
      </c>
      <c r="AF40" s="1">
        <f t="shared" ca="1" si="16"/>
        <v>1</v>
      </c>
      <c r="AG40" s="1">
        <f t="shared" ca="1" si="16"/>
        <v>7</v>
      </c>
      <c r="AH40" s="1">
        <f t="shared" ca="1" si="17"/>
        <v>8</v>
      </c>
      <c r="AI40" s="1">
        <f t="shared" ca="1" si="14"/>
        <v>1</v>
      </c>
      <c r="AJ40" s="1">
        <f t="shared" ca="1" si="15"/>
        <v>1</v>
      </c>
      <c r="AO40" s="1">
        <f t="shared" ca="1" si="18"/>
        <v>69</v>
      </c>
      <c r="AP40" s="1">
        <f t="shared" ca="1" si="19"/>
        <v>36</v>
      </c>
      <c r="AS40" s="1">
        <f t="shared" ca="1" si="20"/>
        <v>39</v>
      </c>
      <c r="AV40" s="1">
        <f t="shared" ca="1" si="21"/>
        <v>-21</v>
      </c>
      <c r="AW40" s="1">
        <f t="shared" ca="1" si="22"/>
        <v>1</v>
      </c>
      <c r="AX40" t="s">
        <v>8</v>
      </c>
      <c r="AY40">
        <v>25</v>
      </c>
      <c r="AZ40">
        <v>25</v>
      </c>
      <c r="BA40">
        <v>0</v>
      </c>
      <c r="BB40">
        <v>10</v>
      </c>
      <c r="BE40">
        <v>23</v>
      </c>
      <c r="BF40" t="s">
        <v>90</v>
      </c>
      <c r="BG40">
        <f ca="1">(RANDBETWEEN(1,6)+RANDBETWEEN(1,6)+RANDBETWEEN(1,6)+RANDBETWEEN(1,6))*100</f>
        <v>1500</v>
      </c>
      <c r="BQ40">
        <v>35</v>
      </c>
      <c r="BR40" t="s">
        <v>145</v>
      </c>
      <c r="BW40">
        <v>35</v>
      </c>
      <c r="BX40" t="s">
        <v>145</v>
      </c>
      <c r="BY40">
        <v>35</v>
      </c>
      <c r="BZ40" t="s">
        <v>151</v>
      </c>
      <c r="CA40">
        <v>35</v>
      </c>
      <c r="CB40" t="s">
        <v>144</v>
      </c>
      <c r="CC40">
        <v>35</v>
      </c>
      <c r="CD40" t="s">
        <v>145</v>
      </c>
      <c r="CF40">
        <v>36</v>
      </c>
      <c r="CG40" t="s">
        <v>177</v>
      </c>
      <c r="CI40">
        <v>36</v>
      </c>
      <c r="CJ40" t="s">
        <v>212</v>
      </c>
      <c r="CL40">
        <v>36</v>
      </c>
      <c r="CM40" t="s">
        <v>248</v>
      </c>
      <c r="CO40">
        <v>36</v>
      </c>
      <c r="CP40" t="s">
        <v>278</v>
      </c>
      <c r="CR40">
        <v>36</v>
      </c>
      <c r="CS40" t="s">
        <v>315</v>
      </c>
      <c r="CU40">
        <v>36</v>
      </c>
      <c r="CV40" t="s">
        <v>340</v>
      </c>
      <c r="CX40">
        <v>36</v>
      </c>
      <c r="CY40">
        <v>1</v>
      </c>
      <c r="DA40">
        <v>36</v>
      </c>
      <c r="DB40">
        <v>2</v>
      </c>
      <c r="DD40">
        <v>36</v>
      </c>
      <c r="DE40">
        <v>2</v>
      </c>
      <c r="DG40">
        <v>36</v>
      </c>
      <c r="DH40" t="s">
        <v>380</v>
      </c>
      <c r="DK40">
        <v>36</v>
      </c>
      <c r="DL40" t="s">
        <v>485</v>
      </c>
    </row>
    <row r="41" spans="4:116" x14ac:dyDescent="0.3">
      <c r="D41" t="str">
        <f t="shared" ca="1" si="5"/>
        <v>Starstone</v>
      </c>
      <c r="E41" cm="1">
        <f t="array" aca="1" ref="E41" ca="1">_xlfn.IFS(D41="","",D41="Starstone", VLOOKUP($BK$4,$BK$6:$BM$11,3)*AI44*AJ44, D41 = "Tristal", VLOOKUP($BK$14,$BK$16:$BM$24,3)*AI44*AJ44, 1=1, VLOOKUP(AO44,$AX$75:$AZ$174,3)*AI44*AJ44)</f>
        <v>2000</v>
      </c>
      <c r="F41" t="str" cm="1">
        <f t="array" aca="1" ref="F41" ca="1">IF(D41="","",_xlfn.IFS(AH44&gt;5,"Normal",AND(AH44&lt;=5,$BK$28&lt;=4),VLOOKUP(AF44,$BK$29:$BN$39,2),AND(AH44&lt;=5,$BK$28&gt;=9),VLOOKUP(AF44,$BK$29:$BN$39,2), 1=1, "Normal"))</f>
        <v>Normal</v>
      </c>
      <c r="G41" t="str" cm="1">
        <f t="array" aca="1" ref="G41" ca="1">IF(D41="","",_xlfn.IFS(AH44&gt;5, "Normal", AND(AH44&lt;=5, $BL$28&lt;=8, $BL$28&gt;=5), VLOOKUP(AG44,$BK$29:$BN$39,3), AND(AH44&lt;=5,$BK$28&gt;=9), VLOOKUP(AG44,$BK$29:$BN$39,3), 1=1, "Normal"))</f>
        <v>Normal</v>
      </c>
      <c r="H41" t="str">
        <f t="shared" ca="1" si="2"/>
        <v/>
      </c>
      <c r="I41" t="str">
        <f t="shared" ca="1" si="3"/>
        <v>Opal</v>
      </c>
      <c r="K41" t="str" cm="1">
        <f t="array" aca="1" ref="K41" ca="1">IF(L41="","",(_xlfn.IFS(L41&gt;=15000,VLOOKUP(AW44,$BE$5:$BH$15,4),L41&gt;=4000,VLOOKUP(AW44,$BE$5:$BH$15,3),L41&gt;=100,VLOOKUP(AW44,$BE$5:$BH$15,2))))</f>
        <v/>
      </c>
      <c r="L41" t="str">
        <f t="shared" ca="1" si="4"/>
        <v/>
      </c>
      <c r="Q41" s="1">
        <f t="shared" ca="1" si="7"/>
        <v>20</v>
      </c>
      <c r="R41" s="1">
        <f t="shared" ca="1" si="8"/>
        <v>24</v>
      </c>
      <c r="AF41" s="1">
        <f t="shared" ca="1" si="16"/>
        <v>5</v>
      </c>
      <c r="AG41" s="1">
        <f t="shared" ca="1" si="16"/>
        <v>10</v>
      </c>
      <c r="AH41" s="1">
        <f t="shared" ca="1" si="17"/>
        <v>22</v>
      </c>
      <c r="AI41" s="1">
        <f t="shared" ca="1" si="14"/>
        <v>1</v>
      </c>
      <c r="AJ41" s="1">
        <f t="shared" ca="1" si="15"/>
        <v>1</v>
      </c>
      <c r="AO41" s="1">
        <f t="shared" ca="1" si="18"/>
        <v>29</v>
      </c>
      <c r="AP41" s="1">
        <f t="shared" ca="1" si="19"/>
        <v>35</v>
      </c>
      <c r="AS41" s="1">
        <f t="shared" ca="1" si="20"/>
        <v>82</v>
      </c>
      <c r="AV41" s="1">
        <f t="shared" ca="1" si="21"/>
        <v>-22</v>
      </c>
      <c r="AW41" s="1">
        <f t="shared" ca="1" si="22"/>
        <v>7</v>
      </c>
      <c r="AX41" t="s">
        <v>9</v>
      </c>
      <c r="AY41">
        <v>25</v>
      </c>
      <c r="AZ41">
        <v>25</v>
      </c>
      <c r="BA41">
        <v>5</v>
      </c>
      <c r="BB41">
        <v>10</v>
      </c>
      <c r="BE41">
        <v>24</v>
      </c>
      <c r="BF41" t="s">
        <v>90</v>
      </c>
      <c r="BG41">
        <f t="shared" ref="BG41:BG44" ca="1" si="26">(RANDBETWEEN(1,6)+RANDBETWEEN(1,6)+RANDBETWEEN(1,6)+RANDBETWEEN(1,6))*100</f>
        <v>900</v>
      </c>
      <c r="BQ41">
        <v>36</v>
      </c>
      <c r="BR41" t="s">
        <v>145</v>
      </c>
      <c r="BW41">
        <v>36</v>
      </c>
      <c r="BX41" t="s">
        <v>145</v>
      </c>
      <c r="BY41">
        <v>36</v>
      </c>
      <c r="BZ41" t="s">
        <v>151</v>
      </c>
      <c r="CA41">
        <v>36</v>
      </c>
      <c r="CB41" t="s">
        <v>144</v>
      </c>
      <c r="CC41">
        <v>36</v>
      </c>
      <c r="CD41" t="s">
        <v>145</v>
      </c>
      <c r="CF41">
        <v>37</v>
      </c>
      <c r="CG41" t="s">
        <v>178</v>
      </c>
      <c r="CI41">
        <v>37</v>
      </c>
      <c r="CJ41" t="s">
        <v>212</v>
      </c>
      <c r="CL41">
        <v>37</v>
      </c>
      <c r="CM41" t="s">
        <v>249</v>
      </c>
      <c r="CO41">
        <v>37</v>
      </c>
      <c r="CP41" t="s">
        <v>278</v>
      </c>
      <c r="CR41">
        <v>37</v>
      </c>
      <c r="CS41" t="s">
        <v>315</v>
      </c>
      <c r="CU41">
        <v>37</v>
      </c>
      <c r="CV41" t="s">
        <v>340</v>
      </c>
      <c r="CX41">
        <v>37</v>
      </c>
      <c r="CY41">
        <v>1</v>
      </c>
      <c r="DA41">
        <v>37</v>
      </c>
      <c r="DB41">
        <v>2</v>
      </c>
      <c r="DD41">
        <v>37</v>
      </c>
      <c r="DE41">
        <v>2</v>
      </c>
      <c r="DG41">
        <v>37</v>
      </c>
      <c r="DH41" t="s">
        <v>381</v>
      </c>
      <c r="DK41">
        <v>37</v>
      </c>
      <c r="DL41" t="s">
        <v>486</v>
      </c>
    </row>
    <row r="42" spans="4:116" x14ac:dyDescent="0.3">
      <c r="D42" t="str">
        <f t="shared" ca="1" si="5"/>
        <v>Jasper</v>
      </c>
      <c r="E42" cm="1">
        <f t="array" aca="1" ref="E42" ca="1">_xlfn.IFS(D42="","",D42="Starstone", VLOOKUP($BK$4,$BK$6:$BM$11,3)*AI45*AJ45, D42 = "Tristal", VLOOKUP($BK$14,$BK$16:$BM$24,3)*AI45*AJ45, 1=1, VLOOKUP(AO45,$AX$75:$AZ$174,3)*AI45*AJ45)</f>
        <v>50</v>
      </c>
      <c r="F42" t="str" cm="1">
        <f t="array" aca="1" ref="F42" ca="1">IF(D42="","",_xlfn.IFS(AH45&gt;5,"Normal",AND(AH45&lt;=5,$BK$28&lt;=4),VLOOKUP(AF45,$BK$29:$BN$39,2),AND(AH45&lt;=5,$BK$28&gt;=9),VLOOKUP(AF45,$BK$29:$BN$39,2), 1=1, "Normal"))</f>
        <v>Normal</v>
      </c>
      <c r="G42" t="str" cm="1">
        <f t="array" aca="1" ref="G42" ca="1">IF(D42="","",_xlfn.IFS(AH45&gt;5, "Normal", AND(AH45&lt;=5, $BL$28&lt;=8, $BL$28&gt;=5), VLOOKUP(AG45,$BK$29:$BN$39,3), AND(AH45&lt;=5,$BK$28&gt;=9), VLOOKUP(AG45,$BK$29:$BN$39,3), 1=1, "Normal"))</f>
        <v>Normal</v>
      </c>
      <c r="H42" t="str">
        <f t="shared" ca="1" si="2"/>
        <v/>
      </c>
      <c r="I42" t="str">
        <f t="shared" ca="1" si="3"/>
        <v/>
      </c>
      <c r="K42" t="str" cm="1">
        <f t="array" aca="1" ref="K42" ca="1">IF(L42="","",(_xlfn.IFS(L42&gt;=15000,VLOOKUP(AW45,$BE$5:$BH$15,4),L42&gt;=4000,VLOOKUP(AW45,$BE$5:$BH$15,3),L42&gt;=100,VLOOKUP(AW45,$BE$5:$BH$15,2))))</f>
        <v/>
      </c>
      <c r="L42" t="str">
        <f t="shared" ca="1" si="4"/>
        <v/>
      </c>
      <c r="Q42" s="1">
        <f t="shared" ca="1" si="7"/>
        <v>10</v>
      </c>
      <c r="R42" s="1">
        <f t="shared" ca="1" si="8"/>
        <v>99</v>
      </c>
      <c r="AF42" s="1">
        <f t="shared" ca="1" si="16"/>
        <v>7</v>
      </c>
      <c r="AG42" s="1">
        <f t="shared" ca="1" si="16"/>
        <v>5</v>
      </c>
      <c r="AH42" s="1">
        <f t="shared" ca="1" si="17"/>
        <v>13</v>
      </c>
      <c r="AI42" s="1">
        <f t="shared" ca="1" si="14"/>
        <v>1</v>
      </c>
      <c r="AJ42" s="1">
        <f t="shared" ca="1" si="15"/>
        <v>1</v>
      </c>
      <c r="AO42" s="1">
        <f t="shared" ca="1" si="18"/>
        <v>52</v>
      </c>
      <c r="AP42" s="1">
        <f t="shared" ca="1" si="19"/>
        <v>34</v>
      </c>
      <c r="AS42" s="1">
        <f t="shared" ca="1" si="20"/>
        <v>54</v>
      </c>
      <c r="AV42" s="1">
        <f t="shared" ca="1" si="21"/>
        <v>-23</v>
      </c>
      <c r="AW42" s="1">
        <f t="shared" ca="1" si="22"/>
        <v>10</v>
      </c>
      <c r="AX42" t="s">
        <v>10</v>
      </c>
      <c r="AY42">
        <v>30</v>
      </c>
      <c r="AZ42">
        <v>30</v>
      </c>
      <c r="BA42">
        <v>10</v>
      </c>
      <c r="BB42">
        <v>15</v>
      </c>
      <c r="BE42">
        <v>25</v>
      </c>
      <c r="BF42" t="s">
        <v>90</v>
      </c>
      <c r="BG42">
        <f t="shared" ca="1" si="26"/>
        <v>1100</v>
      </c>
      <c r="BQ42">
        <v>37</v>
      </c>
      <c r="BR42" t="s">
        <v>145</v>
      </c>
      <c r="BW42">
        <v>37</v>
      </c>
      <c r="BX42" t="s">
        <v>145</v>
      </c>
      <c r="BY42">
        <v>37</v>
      </c>
      <c r="BZ42" t="s">
        <v>151</v>
      </c>
      <c r="CA42">
        <v>37</v>
      </c>
      <c r="CB42" t="s">
        <v>144</v>
      </c>
      <c r="CC42">
        <v>37</v>
      </c>
      <c r="CD42" t="s">
        <v>145</v>
      </c>
      <c r="CF42">
        <v>38</v>
      </c>
      <c r="CG42" t="s">
        <v>178</v>
      </c>
      <c r="CI42">
        <v>38</v>
      </c>
      <c r="CJ42" t="s">
        <v>212</v>
      </c>
      <c r="CL42">
        <v>38</v>
      </c>
      <c r="CM42" t="s">
        <v>249</v>
      </c>
      <c r="CO42">
        <v>38</v>
      </c>
      <c r="CP42" t="s">
        <v>278</v>
      </c>
      <c r="CR42">
        <v>38</v>
      </c>
      <c r="CS42" t="s">
        <v>315</v>
      </c>
      <c r="CU42">
        <v>38</v>
      </c>
      <c r="CV42" t="s">
        <v>340</v>
      </c>
      <c r="CX42">
        <v>38</v>
      </c>
      <c r="CY42">
        <v>1</v>
      </c>
      <c r="DA42">
        <v>38</v>
      </c>
      <c r="DB42">
        <v>2</v>
      </c>
      <c r="DD42">
        <v>38</v>
      </c>
      <c r="DE42">
        <v>2</v>
      </c>
      <c r="DG42">
        <v>38</v>
      </c>
      <c r="DH42" t="s">
        <v>382</v>
      </c>
      <c r="DK42">
        <v>38</v>
      </c>
      <c r="DL42" t="s">
        <v>487</v>
      </c>
    </row>
    <row r="43" spans="4:116" x14ac:dyDescent="0.3">
      <c r="D43" t="str">
        <f t="shared" ca="1" si="5"/>
        <v>Ruby</v>
      </c>
      <c r="E43" cm="1">
        <f t="array" aca="1" ref="E43" ca="1">_xlfn.IFS(D43="","",D43="Starstone", VLOOKUP($BK$4,$BK$6:$BM$11,3)*AI46*AJ46, D43 = "Tristal", VLOOKUP($BK$14,$BK$16:$BM$24,3)*AI46*AJ46, 1=1, VLOOKUP(AO46,$AX$75:$AZ$174,3)*AI46*AJ46)</f>
        <v>5000</v>
      </c>
      <c r="F43" t="str" cm="1">
        <f t="array" aca="1" ref="F43" ca="1">IF(D43="","",_xlfn.IFS(AH46&gt;5,"Normal",AND(AH46&lt;=5,$BK$28&lt;=4),VLOOKUP(AF46,$BK$29:$BN$39,2),AND(AH46&lt;=5,$BK$28&gt;=9),VLOOKUP(AF46,$BK$29:$BN$39,2), 1=1, "Normal"))</f>
        <v>Normal</v>
      </c>
      <c r="G43" t="str" cm="1">
        <f t="array" aca="1" ref="G43" ca="1">IF(D43="","",_xlfn.IFS(AH46&gt;5, "Normal", AND(AH46&lt;=5, $BL$28&lt;=8, $BL$28&gt;=5), VLOOKUP(AG46,$BK$29:$BN$39,3), AND(AH46&lt;=5,$BK$28&gt;=9), VLOOKUP(AG46,$BK$29:$BN$39,3), 1=1, "Normal"))</f>
        <v>Normal</v>
      </c>
      <c r="H43" t="str">
        <f t="shared" ca="1" si="2"/>
        <v/>
      </c>
      <c r="I43" t="str">
        <f t="shared" ca="1" si="3"/>
        <v/>
      </c>
      <c r="K43" t="str" cm="1">
        <f t="array" aca="1" ref="K43" ca="1">IF(L43="","",(_xlfn.IFS(L43&gt;=15000,VLOOKUP(AW46,$BE$5:$BH$15,4),L43&gt;=4000,VLOOKUP(AW46,$BE$5:$BH$15,3),L43&gt;=100,VLOOKUP(AW46,$BE$5:$BH$15,2))))</f>
        <v/>
      </c>
      <c r="L43" t="str">
        <f t="shared" ca="1" si="4"/>
        <v/>
      </c>
      <c r="Q43" s="1">
        <f t="shared" ca="1" si="7"/>
        <v>8</v>
      </c>
      <c r="R43" s="1">
        <f t="shared" ca="1" si="8"/>
        <v>96</v>
      </c>
      <c r="AF43" s="1">
        <f t="shared" ca="1" si="16"/>
        <v>6</v>
      </c>
      <c r="AG43" s="1">
        <f t="shared" ca="1" si="16"/>
        <v>3</v>
      </c>
      <c r="AH43" s="1">
        <f t="shared" ca="1" si="17"/>
        <v>89</v>
      </c>
      <c r="AI43" s="1">
        <f t="shared" ca="1" si="14"/>
        <v>1</v>
      </c>
      <c r="AJ43" s="1">
        <f t="shared" ca="1" si="15"/>
        <v>1</v>
      </c>
      <c r="AO43" s="1">
        <f t="shared" ca="1" si="18"/>
        <v>70</v>
      </c>
      <c r="AP43" s="1">
        <f t="shared" ca="1" si="19"/>
        <v>33</v>
      </c>
      <c r="AS43" s="1">
        <f t="shared" ca="1" si="20"/>
        <v>6</v>
      </c>
      <c r="AV43" s="1">
        <f t="shared" ca="1" si="21"/>
        <v>-24</v>
      </c>
      <c r="AW43" s="1">
        <f t="shared" ca="1" si="22"/>
        <v>4</v>
      </c>
      <c r="AX43" t="s">
        <v>11</v>
      </c>
      <c r="AY43">
        <v>10</v>
      </c>
      <c r="AZ43">
        <v>10</v>
      </c>
      <c r="BA43">
        <v>15</v>
      </c>
      <c r="BB43">
        <v>25</v>
      </c>
      <c r="BE43">
        <v>26</v>
      </c>
      <c r="BF43" t="s">
        <v>90</v>
      </c>
      <c r="BG43">
        <f t="shared" ca="1" si="26"/>
        <v>1000</v>
      </c>
      <c r="BQ43">
        <v>38</v>
      </c>
      <c r="BR43" t="s">
        <v>146</v>
      </c>
      <c r="BW43">
        <v>38</v>
      </c>
      <c r="BX43" t="s">
        <v>146</v>
      </c>
      <c r="BY43">
        <v>38</v>
      </c>
      <c r="BZ43" t="s">
        <v>151</v>
      </c>
      <c r="CA43">
        <v>38</v>
      </c>
      <c r="CB43" t="s">
        <v>144</v>
      </c>
      <c r="CC43">
        <v>38</v>
      </c>
      <c r="CD43" t="s">
        <v>145</v>
      </c>
      <c r="CF43">
        <v>39</v>
      </c>
      <c r="CG43" t="s">
        <v>178</v>
      </c>
      <c r="CI43">
        <v>39</v>
      </c>
      <c r="CJ43" t="s">
        <v>193</v>
      </c>
      <c r="CL43">
        <v>39</v>
      </c>
      <c r="CM43" t="s">
        <v>249</v>
      </c>
      <c r="CO43">
        <v>39</v>
      </c>
      <c r="CP43" t="s">
        <v>279</v>
      </c>
      <c r="CR43">
        <v>39</v>
      </c>
      <c r="CS43" t="s">
        <v>316</v>
      </c>
      <c r="CU43">
        <v>39</v>
      </c>
      <c r="CV43" t="s">
        <v>340</v>
      </c>
      <c r="CX43">
        <v>39</v>
      </c>
      <c r="CY43">
        <v>1</v>
      </c>
      <c r="DA43">
        <v>39</v>
      </c>
      <c r="DB43">
        <v>2</v>
      </c>
      <c r="DD43">
        <v>39</v>
      </c>
      <c r="DE43">
        <v>2</v>
      </c>
      <c r="DG43">
        <v>39</v>
      </c>
      <c r="DH43" t="s">
        <v>204</v>
      </c>
      <c r="DI43">
        <v>3</v>
      </c>
      <c r="DK43">
        <v>39</v>
      </c>
      <c r="DL43" t="s">
        <v>488</v>
      </c>
    </row>
    <row r="44" spans="4:116" x14ac:dyDescent="0.3">
      <c r="D44" t="str">
        <f t="shared" ca="1" si="5"/>
        <v>Pearl</v>
      </c>
      <c r="E44" cm="1">
        <f t="array" aca="1" ref="E44" ca="1">_xlfn.IFS(D44="","",D44="Starstone", VLOOKUP($BK$4,$BK$6:$BM$11,3)*AI47*AJ47, D44 = "Tristal", VLOOKUP($BK$14,$BK$16:$BM$24,3)*AI47*AJ47, 1=1, VLOOKUP(AO47,$AX$75:$AZ$174,3)*AI47*AJ47)</f>
        <v>250</v>
      </c>
      <c r="F44" t="str" cm="1">
        <f t="array" aca="1" ref="F44" ca="1">IF(D44="","",_xlfn.IFS(AH47&gt;5,"Normal",AND(AH47&lt;=5,$BK$28&lt;=4),VLOOKUP(AF47,$BK$29:$BN$39,2),AND(AH47&lt;=5,$BK$28&gt;=9),VLOOKUP(AF47,$BK$29:$BN$39,2), 1=1, "Normal"))</f>
        <v>Normal</v>
      </c>
      <c r="G44" t="str" cm="1">
        <f t="array" aca="1" ref="G44" ca="1">IF(D44="","",_xlfn.IFS(AH47&gt;5, "Normal", AND(AH47&lt;=5, $BL$28&lt;=8, $BL$28&gt;=5), VLOOKUP(AG47,$BK$29:$BN$39,3), AND(AH47&lt;=5,$BK$28&gt;=9), VLOOKUP(AG47,$BK$29:$BN$39,3), 1=1, "Normal"))</f>
        <v>Fairly Poor</v>
      </c>
      <c r="H44" t="str">
        <f t="shared" ca="1" si="2"/>
        <v/>
      </c>
      <c r="I44" t="str">
        <f t="shared" ca="1" si="3"/>
        <v/>
      </c>
      <c r="K44" t="str" cm="1">
        <f t="array" aca="1" ref="K44" ca="1">IF(L44="","",(_xlfn.IFS(L44&gt;=15000,VLOOKUP(AW47,$BE$5:$BH$15,4),L44&gt;=4000,VLOOKUP(AW47,$BE$5:$BH$15,3),L44&gt;=100,VLOOKUP(AW47,$BE$5:$BH$15,2))))</f>
        <v/>
      </c>
      <c r="L44" t="str">
        <f t="shared" ca="1" si="4"/>
        <v/>
      </c>
      <c r="Q44" s="1">
        <f t="shared" ca="1" si="7"/>
        <v>4</v>
      </c>
      <c r="R44" s="1">
        <f t="shared" ca="1" si="8"/>
        <v>66</v>
      </c>
      <c r="AF44" s="1">
        <f t="shared" ca="1" si="16"/>
        <v>4</v>
      </c>
      <c r="AG44" s="1">
        <f t="shared" ca="1" si="16"/>
        <v>1</v>
      </c>
      <c r="AH44" s="1">
        <f t="shared" ca="1" si="17"/>
        <v>69</v>
      </c>
      <c r="AI44" s="1">
        <f t="shared" ca="1" si="14"/>
        <v>1</v>
      </c>
      <c r="AJ44" s="1">
        <f t="shared" ca="1" si="15"/>
        <v>1</v>
      </c>
      <c r="AO44" s="1">
        <f t="shared" ca="1" si="18"/>
        <v>98</v>
      </c>
      <c r="AP44" s="1">
        <f t="shared" ca="1" si="19"/>
        <v>32</v>
      </c>
      <c r="AS44" s="1">
        <f t="shared" ca="1" si="20"/>
        <v>27</v>
      </c>
      <c r="AV44" s="1">
        <f t="shared" ca="1" si="21"/>
        <v>-25</v>
      </c>
      <c r="AW44" s="1">
        <f t="shared" ca="1" si="22"/>
        <v>6</v>
      </c>
      <c r="AX44" t="s">
        <v>12</v>
      </c>
      <c r="AY44">
        <v>20</v>
      </c>
      <c r="AZ44">
        <v>10</v>
      </c>
      <c r="BA44">
        <v>20</v>
      </c>
      <c r="BB44">
        <v>30</v>
      </c>
      <c r="BE44">
        <v>27</v>
      </c>
      <c r="BF44" t="s">
        <v>90</v>
      </c>
      <c r="BG44">
        <f t="shared" ca="1" si="26"/>
        <v>1800</v>
      </c>
      <c r="BQ44">
        <v>39</v>
      </c>
      <c r="BR44" t="s">
        <v>146</v>
      </c>
      <c r="BW44">
        <v>39</v>
      </c>
      <c r="BX44" t="s">
        <v>146</v>
      </c>
      <c r="BY44">
        <v>39</v>
      </c>
      <c r="BZ44" t="s">
        <v>151</v>
      </c>
      <c r="CA44">
        <v>39</v>
      </c>
      <c r="CB44" t="s">
        <v>144</v>
      </c>
      <c r="CC44">
        <v>39</v>
      </c>
      <c r="CD44" t="s">
        <v>145</v>
      </c>
      <c r="CF44">
        <v>40</v>
      </c>
      <c r="CG44" t="s">
        <v>179</v>
      </c>
      <c r="CI44">
        <v>40</v>
      </c>
      <c r="CJ44" t="s">
        <v>193</v>
      </c>
      <c r="CL44">
        <v>40</v>
      </c>
      <c r="CM44" t="s">
        <v>249</v>
      </c>
      <c r="CO44">
        <v>40</v>
      </c>
      <c r="CP44" t="s">
        <v>279</v>
      </c>
      <c r="CR44">
        <v>40</v>
      </c>
      <c r="CS44" t="s">
        <v>316</v>
      </c>
      <c r="CU44">
        <v>40</v>
      </c>
      <c r="CV44" t="s">
        <v>340</v>
      </c>
      <c r="CX44">
        <v>40</v>
      </c>
      <c r="CY44">
        <v>1</v>
      </c>
      <c r="DA44">
        <v>40</v>
      </c>
      <c r="DB44">
        <v>2</v>
      </c>
      <c r="DD44">
        <v>40</v>
      </c>
      <c r="DE44">
        <v>2</v>
      </c>
      <c r="DG44">
        <v>40</v>
      </c>
      <c r="DH44" t="s">
        <v>383</v>
      </c>
      <c r="DI44">
        <v>4</v>
      </c>
      <c r="DK44">
        <v>40</v>
      </c>
      <c r="DL44" t="s">
        <v>489</v>
      </c>
    </row>
    <row r="45" spans="4:116" x14ac:dyDescent="0.3">
      <c r="D45" t="str">
        <f t="shared" ca="1" si="5"/>
        <v>Emerald</v>
      </c>
      <c r="E45" cm="1">
        <f t="array" aca="1" ref="E45" ca="1">_xlfn.IFS(D45="","",D45="Starstone", VLOOKUP($BK$4,$BK$6:$BM$11,3)*AI48*AJ48, D45 = "Tristal", VLOOKUP($BK$14,$BK$16:$BM$24,3)*AI48*AJ48, 1=1, VLOOKUP(AO48,$AX$75:$AZ$174,3)*AI48*AJ48)</f>
        <v>5000</v>
      </c>
      <c r="F45" t="str" cm="1">
        <f t="array" aca="1" ref="F45" ca="1">IF(D45="","",_xlfn.IFS(AH48&gt;5,"Normal",AND(AH48&lt;=5,$BK$28&lt;=4),VLOOKUP(AF48,$BK$29:$BN$39,2),AND(AH48&lt;=5,$BK$28&gt;=9),VLOOKUP(AF48,$BK$29:$BN$39,2), 1=1, "Normal"))</f>
        <v>Normal</v>
      </c>
      <c r="G45" t="str" cm="1">
        <f t="array" aca="1" ref="G45" ca="1">IF(D45="","",_xlfn.IFS(AH48&gt;5, "Normal", AND(AH48&lt;=5, $BL$28&lt;=8, $BL$28&gt;=5), VLOOKUP(AG48,$BK$29:$BN$39,3), AND(AH48&lt;=5,$BK$28&gt;=9), VLOOKUP(AG48,$BK$29:$BN$39,3), 1=1, "Normal"))</f>
        <v>Normal</v>
      </c>
      <c r="H45" t="str">
        <f t="shared" ca="1" si="2"/>
        <v/>
      </c>
      <c r="I45" t="str">
        <f t="shared" ca="1" si="3"/>
        <v/>
      </c>
      <c r="K45" t="str" cm="1">
        <f t="array" aca="1" ref="K45" ca="1">IF(L45="","",(_xlfn.IFS(L45&gt;=15000,VLOOKUP(AW48,$BE$5:$BH$15,4),L45&gt;=4000,VLOOKUP(AW48,$BE$5:$BH$15,3),L45&gt;=100,VLOOKUP(AW48,$BE$5:$BH$15,2))))</f>
        <v/>
      </c>
      <c r="L45" t="str">
        <f t="shared" ca="1" si="4"/>
        <v/>
      </c>
      <c r="Q45" s="1">
        <f t="shared" ca="1" si="7"/>
        <v>2</v>
      </c>
      <c r="R45" s="1">
        <f t="shared" ca="1" si="8"/>
        <v>9</v>
      </c>
      <c r="AF45" s="1">
        <f t="shared" ca="1" si="16"/>
        <v>1</v>
      </c>
      <c r="AG45" s="1">
        <f t="shared" ca="1" si="16"/>
        <v>9</v>
      </c>
      <c r="AH45" s="1">
        <f t="shared" ca="1" si="17"/>
        <v>95</v>
      </c>
      <c r="AI45" s="1">
        <f t="shared" ca="1" si="14"/>
        <v>1</v>
      </c>
      <c r="AJ45" s="1">
        <f t="shared" ca="1" si="15"/>
        <v>1</v>
      </c>
      <c r="AO45" s="1">
        <f t="shared" ca="1" si="18"/>
        <v>6</v>
      </c>
      <c r="AP45" s="1">
        <f t="shared" ca="1" si="19"/>
        <v>31</v>
      </c>
      <c r="AS45" s="1">
        <f t="shared" ca="1" si="20"/>
        <v>95</v>
      </c>
      <c r="AV45" s="1">
        <f t="shared" ca="1" si="21"/>
        <v>-26</v>
      </c>
      <c r="AW45" s="1">
        <f t="shared" ca="1" si="22"/>
        <v>8</v>
      </c>
      <c r="AX45" t="s">
        <v>13</v>
      </c>
      <c r="AY45">
        <v>25</v>
      </c>
      <c r="AZ45">
        <v>25</v>
      </c>
      <c r="BA45">
        <v>30</v>
      </c>
      <c r="BB45">
        <v>35</v>
      </c>
      <c r="BE45">
        <v>28</v>
      </c>
      <c r="BF45" t="s">
        <v>91</v>
      </c>
      <c r="BG45">
        <f ca="1">RANDBETWEEN(1,6)*1000</f>
        <v>6000</v>
      </c>
      <c r="BQ45">
        <v>40</v>
      </c>
      <c r="BR45" t="s">
        <v>146</v>
      </c>
      <c r="BW45">
        <v>40</v>
      </c>
      <c r="BX45" t="s">
        <v>146</v>
      </c>
      <c r="BY45">
        <v>40</v>
      </c>
      <c r="BZ45" t="s">
        <v>151</v>
      </c>
      <c r="CA45">
        <v>40</v>
      </c>
      <c r="CB45" t="s">
        <v>144</v>
      </c>
      <c r="CC45">
        <v>40</v>
      </c>
      <c r="CD45" t="s">
        <v>145</v>
      </c>
      <c r="CF45">
        <v>41</v>
      </c>
      <c r="CG45" t="s">
        <v>179</v>
      </c>
      <c r="CI45">
        <v>41</v>
      </c>
      <c r="CJ45" t="s">
        <v>213</v>
      </c>
      <c r="CL45">
        <v>41</v>
      </c>
      <c r="CM45" t="s">
        <v>249</v>
      </c>
      <c r="CO45">
        <v>41</v>
      </c>
      <c r="CP45" t="s">
        <v>280</v>
      </c>
      <c r="CR45">
        <v>41</v>
      </c>
      <c r="CS45" t="s">
        <v>316</v>
      </c>
      <c r="CU45">
        <v>41</v>
      </c>
      <c r="CV45" t="s">
        <v>340</v>
      </c>
      <c r="CX45">
        <v>41</v>
      </c>
      <c r="CY45">
        <v>1</v>
      </c>
      <c r="DA45">
        <v>41</v>
      </c>
      <c r="DB45">
        <v>2</v>
      </c>
      <c r="DD45">
        <v>41</v>
      </c>
      <c r="DE45">
        <v>2</v>
      </c>
      <c r="DG45">
        <v>41</v>
      </c>
      <c r="DH45" t="s">
        <v>384</v>
      </c>
      <c r="DK45">
        <v>41</v>
      </c>
      <c r="DL45" t="s">
        <v>490</v>
      </c>
    </row>
    <row r="46" spans="4:116" x14ac:dyDescent="0.3">
      <c r="D46" t="str">
        <f t="shared" ca="1" si="5"/>
        <v>Aquamarine</v>
      </c>
      <c r="E46" cm="1">
        <f t="array" aca="1" ref="E46" ca="1">_xlfn.IFS(D46="","",D46="Starstone", VLOOKUP($BK$4,$BK$6:$BM$11,3)*AI49*AJ49, D46 = "Tristal", VLOOKUP($BK$14,$BK$16:$BM$24,3)*AI49*AJ49, 1=1, VLOOKUP(AO49,$AX$75:$AZ$174,3)*AI49*AJ49)</f>
        <v>500</v>
      </c>
      <c r="F46" t="str" cm="1">
        <f t="array" aca="1" ref="F46" ca="1">IF(D46="","",_xlfn.IFS(AH49&gt;5,"Normal",AND(AH49&lt;=5,$BK$28&lt;=4),VLOOKUP(AF49,$BK$29:$BN$39,2),AND(AH49&lt;=5,$BK$28&gt;=9),VLOOKUP(AF49,$BK$29:$BN$39,2), 1=1, "Normal"))</f>
        <v>Normal</v>
      </c>
      <c r="G46" t="str" cm="1">
        <f t="array" aca="1" ref="G46" ca="1">IF(D46="","",_xlfn.IFS(AH49&gt;5, "Normal", AND(AH49&lt;=5, $BL$28&lt;=8, $BL$28&gt;=5), VLOOKUP(AG49,$BK$29:$BN$39,3), AND(AH49&lt;=5,$BK$28&gt;=9), VLOOKUP(AG49,$BK$29:$BN$39,3), 1=1, "Normal"))</f>
        <v>Normal</v>
      </c>
      <c r="H46" t="str">
        <f t="shared" ca="1" si="2"/>
        <v/>
      </c>
      <c r="I46" t="str">
        <f t="shared" ca="1" si="3"/>
        <v/>
      </c>
      <c r="K46" t="str" cm="1">
        <f t="array" aca="1" ref="K46" ca="1">IF(L46="","",(_xlfn.IFS(L46&gt;=15000,VLOOKUP(AW49,$BE$5:$BH$15,4),L46&gt;=4000,VLOOKUP(AW49,$BE$5:$BH$15,3),L46&gt;=100,VLOOKUP(AW49,$BE$5:$BH$15,2))))</f>
        <v/>
      </c>
      <c r="L46" t="str">
        <f t="shared" ca="1" si="4"/>
        <v/>
      </c>
      <c r="Q46" s="1">
        <f t="shared" ca="1" si="7"/>
        <v>3</v>
      </c>
      <c r="R46" s="1">
        <f t="shared" ca="1" si="8"/>
        <v>20</v>
      </c>
      <c r="AF46" s="1">
        <f t="shared" ca="1" si="16"/>
        <v>1</v>
      </c>
      <c r="AG46" s="1">
        <f t="shared" ca="1" si="16"/>
        <v>10</v>
      </c>
      <c r="AH46" s="1">
        <f t="shared" ca="1" si="17"/>
        <v>72</v>
      </c>
      <c r="AI46" s="1">
        <f t="shared" ca="1" si="14"/>
        <v>1</v>
      </c>
      <c r="AJ46" s="1">
        <f t="shared" ca="1" si="15"/>
        <v>1</v>
      </c>
      <c r="AO46" s="1">
        <f t="shared" ca="1" si="18"/>
        <v>85</v>
      </c>
      <c r="AP46" s="1">
        <f t="shared" ca="1" si="19"/>
        <v>30</v>
      </c>
      <c r="AS46" s="1">
        <f t="shared" ca="1" si="20"/>
        <v>47</v>
      </c>
      <c r="AV46" s="1">
        <f t="shared" ca="1" si="21"/>
        <v>-27</v>
      </c>
      <c r="AW46" s="1">
        <f t="shared" ca="1" si="22"/>
        <v>6</v>
      </c>
      <c r="AX46" t="s">
        <v>14</v>
      </c>
      <c r="AY46">
        <v>50</v>
      </c>
      <c r="AZ46">
        <v>50</v>
      </c>
      <c r="BA46">
        <v>10</v>
      </c>
      <c r="BB46">
        <v>15</v>
      </c>
      <c r="BE46">
        <v>29</v>
      </c>
      <c r="BF46" t="s">
        <v>91</v>
      </c>
      <c r="BG46">
        <f t="shared" ref="BG46:BG47" ca="1" si="27">RANDBETWEEN(1,6)*1000</f>
        <v>2000</v>
      </c>
      <c r="BQ46">
        <v>41</v>
      </c>
      <c r="BR46" t="s">
        <v>146</v>
      </c>
      <c r="BW46">
        <v>41</v>
      </c>
      <c r="BX46" t="s">
        <v>146</v>
      </c>
      <c r="BY46">
        <v>41</v>
      </c>
      <c r="BZ46" t="s">
        <v>151</v>
      </c>
      <c r="CA46">
        <v>41</v>
      </c>
      <c r="CB46" t="s">
        <v>144</v>
      </c>
      <c r="CC46">
        <v>41</v>
      </c>
      <c r="CD46" t="s">
        <v>145</v>
      </c>
      <c r="CF46">
        <v>42</v>
      </c>
      <c r="CG46" t="s">
        <v>180</v>
      </c>
      <c r="CI46">
        <v>42</v>
      </c>
      <c r="CJ46" t="s">
        <v>213</v>
      </c>
      <c r="CL46">
        <v>42</v>
      </c>
      <c r="CM46" t="s">
        <v>249</v>
      </c>
      <c r="CO46">
        <v>42</v>
      </c>
      <c r="CP46" t="s">
        <v>280</v>
      </c>
      <c r="CR46">
        <v>42</v>
      </c>
      <c r="CS46" t="s">
        <v>316</v>
      </c>
      <c r="CU46">
        <v>42</v>
      </c>
      <c r="CV46" t="s">
        <v>340</v>
      </c>
      <c r="CX46">
        <v>42</v>
      </c>
      <c r="CY46">
        <v>1</v>
      </c>
      <c r="DA46">
        <v>42</v>
      </c>
      <c r="DB46">
        <v>2</v>
      </c>
      <c r="DD46">
        <v>42</v>
      </c>
      <c r="DE46">
        <v>2</v>
      </c>
      <c r="DG46">
        <v>42</v>
      </c>
      <c r="DH46" t="s">
        <v>385</v>
      </c>
      <c r="DK46">
        <v>42</v>
      </c>
      <c r="DL46" t="s">
        <v>491</v>
      </c>
    </row>
    <row r="47" spans="4:116" x14ac:dyDescent="0.3">
      <c r="D47" t="str">
        <f t="shared" ca="1" si="5"/>
        <v>Ruby</v>
      </c>
      <c r="E47" cm="1">
        <f t="array" aca="1" ref="E47" ca="1">_xlfn.IFS(D47="","",D47="Starstone", VLOOKUP($BK$4,$BK$6:$BM$11,3)*AI50*AJ50, D47 = "Tristal", VLOOKUP($BK$14,$BK$16:$BM$24,3)*AI50*AJ50, 1=1, VLOOKUP(AO50,$AX$75:$AZ$174,3)*AI50*AJ50)</f>
        <v>5000</v>
      </c>
      <c r="F47" t="str" cm="1">
        <f t="array" aca="1" ref="F47" ca="1">IF(D47="","",_xlfn.IFS(AH50&gt;5,"Normal",AND(AH50&lt;=5,$BK$28&lt;=4),VLOOKUP(AF50,$BK$29:$BN$39,2),AND(AH50&lt;=5,$BK$28&gt;=9),VLOOKUP(AF50,$BK$29:$BN$39,2), 1=1, "Normal"))</f>
        <v>Normal</v>
      </c>
      <c r="G47" t="str" cm="1">
        <f t="array" aca="1" ref="G47" ca="1">IF(D47="","",_xlfn.IFS(AH50&gt;5, "Normal", AND(AH50&lt;=5, $BL$28&lt;=8, $BL$28&gt;=5), VLOOKUP(AG50,$BK$29:$BN$39,3), AND(AH50&lt;=5,$BK$28&gt;=9), VLOOKUP(AG50,$BK$29:$BN$39,3), 1=1, "Normal"))</f>
        <v>Normal</v>
      </c>
      <c r="H47" t="str">
        <f t="shared" ca="1" si="2"/>
        <v/>
      </c>
      <c r="I47" t="str">
        <f t="shared" ca="1" si="3"/>
        <v/>
      </c>
      <c r="K47" t="str" cm="1">
        <f t="array" aca="1" ref="K47" ca="1">IF(L47="","",(_xlfn.IFS(L47&gt;=15000,VLOOKUP(AW50,$BE$5:$BH$15,4),L47&gt;=4000,VLOOKUP(AW50,$BE$5:$BH$15,3),L47&gt;=100,VLOOKUP(AW50,$BE$5:$BH$15,2))))</f>
        <v/>
      </c>
      <c r="L47" t="str">
        <f t="shared" ca="1" si="4"/>
        <v/>
      </c>
      <c r="AF47" s="1">
        <f t="shared" ca="1" si="16"/>
        <v>10</v>
      </c>
      <c r="AG47" s="1">
        <f t="shared" ca="1" si="16"/>
        <v>5</v>
      </c>
      <c r="AH47" s="1">
        <f t="shared" ca="1" si="17"/>
        <v>1</v>
      </c>
      <c r="AI47" s="1">
        <f t="shared" ca="1" si="14"/>
        <v>1</v>
      </c>
      <c r="AJ47" s="1">
        <f t="shared" ca="1" si="15"/>
        <v>0.5</v>
      </c>
      <c r="AO47" s="1">
        <f t="shared" ca="1" si="18"/>
        <v>39</v>
      </c>
      <c r="AP47" s="1">
        <f t="shared" ca="1" si="19"/>
        <v>29</v>
      </c>
      <c r="AS47" s="1">
        <f t="shared" ca="1" si="20"/>
        <v>71</v>
      </c>
      <c r="AV47" s="1">
        <f t="shared" ca="1" si="21"/>
        <v>-28</v>
      </c>
      <c r="AW47" s="1">
        <f t="shared" ca="1" si="22"/>
        <v>8</v>
      </c>
      <c r="AX47" t="s">
        <v>15</v>
      </c>
      <c r="AY47">
        <v>50</v>
      </c>
      <c r="AZ47">
        <v>50</v>
      </c>
      <c r="BA47">
        <v>5</v>
      </c>
      <c r="BB47">
        <v>15</v>
      </c>
      <c r="BE47">
        <v>30</v>
      </c>
      <c r="BF47" t="s">
        <v>91</v>
      </c>
      <c r="BG47">
        <f t="shared" ca="1" si="27"/>
        <v>1000</v>
      </c>
      <c r="BQ47">
        <v>42</v>
      </c>
      <c r="BR47" t="s">
        <v>146</v>
      </c>
      <c r="BW47">
        <v>42</v>
      </c>
      <c r="BX47" t="s">
        <v>146</v>
      </c>
      <c r="BY47">
        <v>42</v>
      </c>
      <c r="BZ47" t="s">
        <v>151</v>
      </c>
      <c r="CA47">
        <v>42</v>
      </c>
      <c r="CB47" t="s">
        <v>144</v>
      </c>
      <c r="CC47">
        <v>42</v>
      </c>
      <c r="CD47" t="s">
        <v>145</v>
      </c>
      <c r="CF47">
        <v>43</v>
      </c>
      <c r="CG47" t="s">
        <v>180</v>
      </c>
      <c r="CI47">
        <v>43</v>
      </c>
      <c r="CJ47" t="s">
        <v>213</v>
      </c>
      <c r="CL47">
        <v>43</v>
      </c>
      <c r="CM47" t="s">
        <v>250</v>
      </c>
      <c r="CO47">
        <v>43</v>
      </c>
      <c r="CP47" t="s">
        <v>281</v>
      </c>
      <c r="CR47">
        <v>43</v>
      </c>
      <c r="CS47" t="s">
        <v>317</v>
      </c>
      <c r="CU47">
        <v>43</v>
      </c>
      <c r="CV47" t="s">
        <v>340</v>
      </c>
      <c r="CX47">
        <v>43</v>
      </c>
      <c r="CY47">
        <v>1</v>
      </c>
      <c r="DA47">
        <v>43</v>
      </c>
      <c r="DB47">
        <v>2</v>
      </c>
      <c r="DD47">
        <v>43</v>
      </c>
      <c r="DE47">
        <v>2</v>
      </c>
      <c r="DG47">
        <v>43</v>
      </c>
      <c r="DH47" t="s">
        <v>386</v>
      </c>
      <c r="DK47">
        <v>43</v>
      </c>
      <c r="DL47" t="s">
        <v>492</v>
      </c>
    </row>
    <row r="48" spans="4:116" x14ac:dyDescent="0.3">
      <c r="D48" t="str">
        <f t="shared" ca="1" si="5"/>
        <v>Quartz</v>
      </c>
      <c r="E48" cm="1">
        <f t="array" aca="1" ref="E48" ca="1">_xlfn.IFS(D48="","",D48="Starstone", VLOOKUP($BK$4,$BK$6:$BM$11,3)*AI51*AJ51, D48 = "Tristal", VLOOKUP($BK$14,$BK$16:$BM$24,3)*AI51*AJ51, 1=1, VLOOKUP(AO51,$AX$75:$AZ$174,3)*AI51*AJ51)</f>
        <v>10</v>
      </c>
      <c r="F48" t="str" cm="1">
        <f t="array" aca="1" ref="F48" ca="1">IF(D48="","",_xlfn.IFS(AH51&gt;5,"Normal",AND(AH51&lt;=5,$BK$28&lt;=4),VLOOKUP(AF51,$BK$29:$BN$39,2),AND(AH51&lt;=5,$BK$28&gt;=9),VLOOKUP(AF51,$BK$29:$BN$39,2), 1=1, "Normal"))</f>
        <v>Normal</v>
      </c>
      <c r="G48" t="str" cm="1">
        <f t="array" aca="1" ref="G48" ca="1">IF(D48="","",_xlfn.IFS(AH51&gt;5, "Normal", AND(AH51&lt;=5, $BL$28&lt;=8, $BL$28&gt;=5), VLOOKUP(AG51,$BK$29:$BN$39,3), AND(AH51&lt;=5,$BK$28&gt;=9), VLOOKUP(AG51,$BK$29:$BN$39,3), 1=1, "Normal"))</f>
        <v>Normal</v>
      </c>
      <c r="H48" t="str">
        <f t="shared" ca="1" si="2"/>
        <v/>
      </c>
      <c r="I48" t="str">
        <f t="shared" ca="1" si="3"/>
        <v/>
      </c>
      <c r="K48" t="str" cm="1">
        <f t="array" aca="1" ref="K48" ca="1">IF(L48="","",(_xlfn.IFS(L48&gt;=15000,VLOOKUP(AW51,$BE$5:$BH$15,4),L48&gt;=4000,VLOOKUP(AW51,$BE$5:$BH$15,3),L48&gt;=100,VLOOKUP(AW51,$BE$5:$BH$15,2))))</f>
        <v/>
      </c>
      <c r="L48" t="str">
        <f t="shared" ca="1" si="4"/>
        <v/>
      </c>
      <c r="AF48" s="1">
        <f t="shared" ca="1" si="16"/>
        <v>10</v>
      </c>
      <c r="AG48" s="1">
        <f t="shared" ca="1" si="16"/>
        <v>8</v>
      </c>
      <c r="AH48" s="1">
        <f t="shared" ca="1" si="17"/>
        <v>26</v>
      </c>
      <c r="AI48" s="1">
        <f t="shared" ca="1" si="14"/>
        <v>1</v>
      </c>
      <c r="AJ48" s="1">
        <f t="shared" ca="1" si="15"/>
        <v>1</v>
      </c>
      <c r="AO48" s="1">
        <f t="shared" ca="1" si="18"/>
        <v>75</v>
      </c>
      <c r="AP48" s="1">
        <f t="shared" ca="1" si="19"/>
        <v>28</v>
      </c>
      <c r="AS48" s="1">
        <f t="shared" ca="1" si="20"/>
        <v>86</v>
      </c>
      <c r="AV48" s="1">
        <f t="shared" ca="1" si="21"/>
        <v>-29</v>
      </c>
      <c r="AW48" s="1">
        <f t="shared" ca="1" si="22"/>
        <v>8</v>
      </c>
      <c r="AX48" t="s">
        <v>16</v>
      </c>
      <c r="AY48">
        <v>0</v>
      </c>
      <c r="AZ48">
        <v>0</v>
      </c>
      <c r="BA48">
        <v>0</v>
      </c>
      <c r="BB48">
        <v>0</v>
      </c>
      <c r="BE48">
        <v>31</v>
      </c>
      <c r="BF48" t="s">
        <v>92</v>
      </c>
      <c r="BG48" t="s">
        <v>103</v>
      </c>
      <c r="BQ48">
        <v>43</v>
      </c>
      <c r="BR48" t="s">
        <v>146</v>
      </c>
      <c r="BW48">
        <v>43</v>
      </c>
      <c r="BX48" t="s">
        <v>146</v>
      </c>
      <c r="BY48">
        <v>43</v>
      </c>
      <c r="BZ48" t="s">
        <v>151</v>
      </c>
      <c r="CA48">
        <v>43</v>
      </c>
      <c r="CB48" t="s">
        <v>144</v>
      </c>
      <c r="CC48">
        <v>43</v>
      </c>
      <c r="CD48" t="s">
        <v>145</v>
      </c>
      <c r="CF48">
        <v>44</v>
      </c>
      <c r="CG48" t="s">
        <v>180</v>
      </c>
      <c r="CI48">
        <v>44</v>
      </c>
      <c r="CJ48" t="s">
        <v>213</v>
      </c>
      <c r="CL48">
        <v>44</v>
      </c>
      <c r="CM48" t="s">
        <v>250</v>
      </c>
      <c r="CO48">
        <v>44</v>
      </c>
      <c r="CP48" t="s">
        <v>282</v>
      </c>
      <c r="CR48">
        <v>44</v>
      </c>
      <c r="CS48" t="s">
        <v>317</v>
      </c>
      <c r="CU48">
        <v>44</v>
      </c>
      <c r="CV48" t="s">
        <v>340</v>
      </c>
      <c r="CX48">
        <v>44</v>
      </c>
      <c r="CY48">
        <v>1</v>
      </c>
      <c r="DA48">
        <v>44</v>
      </c>
      <c r="DB48">
        <v>2</v>
      </c>
      <c r="DD48">
        <v>44</v>
      </c>
      <c r="DE48">
        <v>2</v>
      </c>
      <c r="DG48">
        <v>44</v>
      </c>
      <c r="DH48" t="s">
        <v>387</v>
      </c>
      <c r="DK48">
        <v>44</v>
      </c>
      <c r="DL48" t="s">
        <v>493</v>
      </c>
    </row>
    <row r="49" spans="4:116" x14ac:dyDescent="0.3">
      <c r="D49" t="str">
        <f t="shared" ca="1" si="5"/>
        <v>Ruby</v>
      </c>
      <c r="E49" cm="1">
        <f t="array" aca="1" ref="E49" ca="1">_xlfn.IFS(D49="","",D49="Starstone", VLOOKUP($BK$4,$BK$6:$BM$11,3)*AI52*AJ52, D49 = "Tristal", VLOOKUP($BK$14,$BK$16:$BM$24,3)*AI52*AJ52, 1=1, VLOOKUP(AO52,$AX$75:$AZ$174,3)*AI52*AJ52)</f>
        <v>5000</v>
      </c>
      <c r="F49" t="str" cm="1">
        <f t="array" aca="1" ref="F49" ca="1">IF(D49="","",_xlfn.IFS(AH52&gt;5,"Normal",AND(AH52&lt;=5,$BK$28&lt;=4),VLOOKUP(AF52,$BK$29:$BN$39,2),AND(AH52&lt;=5,$BK$28&gt;=9),VLOOKUP(AF52,$BK$29:$BN$39,2), 1=1, "Normal"))</f>
        <v>Normal</v>
      </c>
      <c r="G49" t="str" cm="1">
        <f t="array" aca="1" ref="G49" ca="1">IF(D49="","",_xlfn.IFS(AH52&gt;5, "Normal", AND(AH52&lt;=5, $BL$28&lt;=8, $BL$28&gt;=5), VLOOKUP(AG52,$BK$29:$BN$39,3), AND(AH52&lt;=5,$BK$28&gt;=9), VLOOKUP(AG52,$BK$29:$BN$39,3), 1=1, "Normal"))</f>
        <v>Normal</v>
      </c>
      <c r="H49" t="str">
        <f t="shared" ca="1" si="2"/>
        <v/>
      </c>
      <c r="I49" t="str">
        <f t="shared" ca="1" si="3"/>
        <v/>
      </c>
      <c r="K49" t="str" cm="1">
        <f t="array" aca="1" ref="K49" ca="1">IF(L49="","",(_xlfn.IFS(L49&gt;=15000,VLOOKUP(AW52,$BE$5:$BH$15,4),L49&gt;=4000,VLOOKUP(AW52,$BE$5:$BH$15,3),L49&gt;=100,VLOOKUP(AW52,$BE$5:$BH$15,2))))</f>
        <v/>
      </c>
      <c r="L49" t="str">
        <f t="shared" ca="1" si="4"/>
        <v/>
      </c>
      <c r="AF49" s="1">
        <f t="shared" ca="1" si="16"/>
        <v>10</v>
      </c>
      <c r="AG49" s="1">
        <f t="shared" ca="1" si="16"/>
        <v>6</v>
      </c>
      <c r="AH49" s="1">
        <f t="shared" ca="1" si="17"/>
        <v>13</v>
      </c>
      <c r="AI49" s="1">
        <f t="shared" ca="1" si="14"/>
        <v>1</v>
      </c>
      <c r="AJ49" s="1">
        <f t="shared" ca="1" si="15"/>
        <v>1</v>
      </c>
      <c r="AO49" s="1">
        <f t="shared" ca="1" si="18"/>
        <v>35</v>
      </c>
      <c r="AP49" s="1">
        <f t="shared" ca="1" si="19"/>
        <v>27</v>
      </c>
      <c r="AS49" s="1">
        <f t="shared" ca="1" si="20"/>
        <v>1</v>
      </c>
      <c r="AV49" s="1">
        <f t="shared" ca="1" si="21"/>
        <v>-30</v>
      </c>
      <c r="AW49" s="1">
        <f t="shared" ca="1" si="22"/>
        <v>1</v>
      </c>
      <c r="AX49" t="s">
        <v>17</v>
      </c>
      <c r="AY49">
        <v>0</v>
      </c>
      <c r="AZ49">
        <v>0</v>
      </c>
      <c r="BA49">
        <v>0</v>
      </c>
      <c r="BB49">
        <v>0</v>
      </c>
      <c r="BE49">
        <v>32</v>
      </c>
      <c r="BF49" t="s">
        <v>92</v>
      </c>
      <c r="BG49" t="s">
        <v>103</v>
      </c>
      <c r="BQ49">
        <v>44</v>
      </c>
      <c r="BR49" t="s">
        <v>146</v>
      </c>
      <c r="BW49">
        <v>44</v>
      </c>
      <c r="BX49" t="s">
        <v>146</v>
      </c>
      <c r="BY49">
        <v>44</v>
      </c>
      <c r="BZ49" t="s">
        <v>151</v>
      </c>
      <c r="CA49">
        <v>44</v>
      </c>
      <c r="CB49" t="s">
        <v>144</v>
      </c>
      <c r="CC49">
        <v>44</v>
      </c>
      <c r="CD49" t="s">
        <v>145</v>
      </c>
      <c r="CF49">
        <v>45</v>
      </c>
      <c r="CG49" t="s">
        <v>180</v>
      </c>
      <c r="CI49">
        <v>45</v>
      </c>
      <c r="CJ49" t="s">
        <v>213</v>
      </c>
      <c r="CL49">
        <v>45</v>
      </c>
      <c r="CM49" t="s">
        <v>250</v>
      </c>
      <c r="CO49">
        <v>45</v>
      </c>
      <c r="CP49" t="s">
        <v>282</v>
      </c>
      <c r="CR49">
        <v>45</v>
      </c>
      <c r="CS49" t="s">
        <v>317</v>
      </c>
      <c r="CU49">
        <v>45</v>
      </c>
      <c r="CV49" t="s">
        <v>340</v>
      </c>
      <c r="CX49">
        <v>45</v>
      </c>
      <c r="CY49">
        <v>1</v>
      </c>
      <c r="DA49">
        <v>45</v>
      </c>
      <c r="DB49">
        <v>2</v>
      </c>
      <c r="DD49">
        <v>45</v>
      </c>
      <c r="DE49">
        <v>2</v>
      </c>
      <c r="DG49">
        <v>45</v>
      </c>
      <c r="DH49" t="s">
        <v>388</v>
      </c>
      <c r="DK49">
        <v>45</v>
      </c>
      <c r="DL49" t="s">
        <v>494</v>
      </c>
    </row>
    <row r="50" spans="4:116" x14ac:dyDescent="0.3">
      <c r="D50" t="str">
        <f t="shared" ca="1" si="5"/>
        <v>Jasper</v>
      </c>
      <c r="E50" cm="1">
        <f t="array" aca="1" ref="E50" ca="1">_xlfn.IFS(D50="","",D50="Starstone", VLOOKUP($BK$4,$BK$6:$BM$11,3)*AI53*AJ53, D50 = "Tristal", VLOOKUP($BK$14,$BK$16:$BM$24,3)*AI53*AJ53, 1=1, VLOOKUP(AO53,$AX$75:$AZ$174,3)*AI53*AJ53)</f>
        <v>50</v>
      </c>
      <c r="F50" t="str" cm="1">
        <f t="array" aca="1" ref="F50" ca="1">IF(D50="","",_xlfn.IFS(AH53&gt;5,"Normal",AND(AH53&lt;=5,$BK$28&lt;=4),VLOOKUP(AF53,$BK$29:$BN$39,2),AND(AH53&lt;=5,$BK$28&gt;=9),VLOOKUP(AF53,$BK$29:$BN$39,2), 1=1, "Normal"))</f>
        <v>Normal</v>
      </c>
      <c r="G50" t="str" cm="1">
        <f t="array" aca="1" ref="G50" ca="1">IF(D50="","",_xlfn.IFS(AH53&gt;5, "Normal", AND(AH53&lt;=5, $BL$28&lt;=8, $BL$28&gt;=5), VLOOKUP(AG53,$BK$29:$BN$39,3), AND(AH53&lt;=5,$BK$28&gt;=9), VLOOKUP(AG53,$BK$29:$BN$39,3), 1=1, "Normal"))</f>
        <v>Normal</v>
      </c>
      <c r="H50" t="str">
        <f t="shared" ca="1" si="2"/>
        <v/>
      </c>
      <c r="I50" t="str">
        <f t="shared" ca="1" si="3"/>
        <v/>
      </c>
      <c r="K50" t="str" cm="1">
        <f t="array" aca="1" ref="K50" ca="1">IF(L50="","",(_xlfn.IFS(L50&gt;=15000,VLOOKUP(AW53,$BE$5:$BH$15,4),L50&gt;=4000,VLOOKUP(AW53,$BE$5:$BH$15,3),L50&gt;=100,VLOOKUP(AW53,$BE$5:$BH$15,2))))</f>
        <v/>
      </c>
      <c r="L50" t="str">
        <f t="shared" ca="1" si="4"/>
        <v/>
      </c>
      <c r="AF50" s="1">
        <f t="shared" ca="1" si="16"/>
        <v>7</v>
      </c>
      <c r="AG50" s="1">
        <f t="shared" ca="1" si="16"/>
        <v>2</v>
      </c>
      <c r="AH50" s="1">
        <f t="shared" ca="1" si="17"/>
        <v>54</v>
      </c>
      <c r="AI50" s="1">
        <f t="shared" ca="1" si="14"/>
        <v>1</v>
      </c>
      <c r="AJ50" s="1">
        <f t="shared" ca="1" si="15"/>
        <v>1</v>
      </c>
      <c r="AO50" s="1">
        <f t="shared" ca="1" si="18"/>
        <v>76</v>
      </c>
      <c r="AP50" s="1">
        <f t="shared" ca="1" si="19"/>
        <v>26</v>
      </c>
      <c r="AS50" s="1">
        <f t="shared" ca="1" si="20"/>
        <v>99</v>
      </c>
      <c r="AV50" s="1">
        <f t="shared" ca="1" si="21"/>
        <v>-31</v>
      </c>
      <c r="AW50" s="1">
        <f t="shared" ca="1" si="22"/>
        <v>6</v>
      </c>
      <c r="AX50" t="s">
        <v>19</v>
      </c>
      <c r="AY50">
        <v>50</v>
      </c>
      <c r="AZ50">
        <v>0</v>
      </c>
      <c r="BA50">
        <v>0</v>
      </c>
      <c r="BB50">
        <v>0</v>
      </c>
      <c r="BE50">
        <v>33</v>
      </c>
      <c r="BF50" t="s">
        <v>92</v>
      </c>
      <c r="BG50" t="s">
        <v>103</v>
      </c>
      <c r="BQ50">
        <v>45</v>
      </c>
      <c r="BR50" t="s">
        <v>146</v>
      </c>
      <c r="BW50">
        <v>45</v>
      </c>
      <c r="BX50" t="s">
        <v>146</v>
      </c>
      <c r="BY50">
        <v>45</v>
      </c>
      <c r="BZ50" t="s">
        <v>151</v>
      </c>
      <c r="CA50">
        <v>45</v>
      </c>
      <c r="CB50" t="s">
        <v>144</v>
      </c>
      <c r="CC50">
        <v>45</v>
      </c>
      <c r="CD50" t="s">
        <v>145</v>
      </c>
      <c r="CF50">
        <v>46</v>
      </c>
      <c r="CG50" t="s">
        <v>181</v>
      </c>
      <c r="CI50">
        <v>46</v>
      </c>
      <c r="CJ50" t="s">
        <v>214</v>
      </c>
      <c r="CL50">
        <v>46</v>
      </c>
      <c r="CM50" t="s">
        <v>250</v>
      </c>
      <c r="CO50">
        <v>46</v>
      </c>
      <c r="CP50" t="s">
        <v>283</v>
      </c>
      <c r="CR50">
        <v>46</v>
      </c>
      <c r="CS50" t="s">
        <v>317</v>
      </c>
      <c r="CU50">
        <v>46</v>
      </c>
      <c r="CV50" t="s">
        <v>340</v>
      </c>
      <c r="CX50">
        <v>46</v>
      </c>
      <c r="CY50">
        <v>1</v>
      </c>
      <c r="DA50">
        <v>46</v>
      </c>
      <c r="DB50">
        <v>2</v>
      </c>
      <c r="DD50">
        <v>46</v>
      </c>
      <c r="DE50">
        <v>2</v>
      </c>
      <c r="DG50">
        <v>46</v>
      </c>
      <c r="DH50" t="s">
        <v>389</v>
      </c>
      <c r="DK50">
        <v>46</v>
      </c>
      <c r="DL50" t="s">
        <v>495</v>
      </c>
    </row>
    <row r="51" spans="4:116" x14ac:dyDescent="0.3">
      <c r="D51" t="str">
        <f t="shared" ca="1" si="5"/>
        <v>Carbuncle</v>
      </c>
      <c r="E51" cm="1">
        <f t="array" aca="1" ref="E51" ca="1">_xlfn.IFS(D51="","",D51="Starstone", VLOOKUP($BK$4,$BK$6:$BM$11,3)*AI54*AJ54, D51 = "Tristal", VLOOKUP($BK$14,$BK$16:$BM$24,3)*AI54*AJ54, 1=1, VLOOKUP(AO54,$AX$75:$AZ$174,3)*AI54*AJ54)</f>
        <v>1000</v>
      </c>
      <c r="F51" t="str" cm="1">
        <f t="array" aca="1" ref="F51" ca="1">IF(D51="","",_xlfn.IFS(AH54&gt;5,"Normal",AND(AH54&lt;=5,$BK$28&lt;=4),VLOOKUP(AF54,$BK$29:$BN$39,2),AND(AH54&lt;=5,$BK$28&gt;=9),VLOOKUP(AF54,$BK$29:$BN$39,2), 1=1, "Normal"))</f>
        <v>Normal</v>
      </c>
      <c r="G51" t="str" cm="1">
        <f t="array" aca="1" ref="G51" ca="1">IF(D51="","",_xlfn.IFS(AH54&gt;5, "Normal", AND(AH54&lt;=5, $BL$28&lt;=8, $BL$28&gt;=5), VLOOKUP(AG54,$BK$29:$BN$39,3), AND(AH54&lt;=5,$BK$28&gt;=9), VLOOKUP(AG54,$BK$29:$BN$39,3), 1=1, "Normal"))</f>
        <v>Normal</v>
      </c>
      <c r="H51" t="str">
        <f t="shared" ca="1" si="2"/>
        <v/>
      </c>
      <c r="I51" t="str">
        <f t="shared" ca="1" si="3"/>
        <v/>
      </c>
      <c r="K51" t="str" cm="1">
        <f t="array" aca="1" ref="K51" ca="1">IF(L51="","",(_xlfn.IFS(L51&gt;=15000,VLOOKUP(AW54,$BE$5:$BH$15,4),L51&gt;=4000,VLOOKUP(AW54,$BE$5:$BH$15,3),L51&gt;=100,VLOOKUP(AW54,$BE$5:$BH$15,2))))</f>
        <v/>
      </c>
      <c r="L51" t="str">
        <f t="shared" ca="1" si="4"/>
        <v/>
      </c>
      <c r="AF51" s="1">
        <f t="shared" ca="1" si="16"/>
        <v>2</v>
      </c>
      <c r="AG51" s="1">
        <f t="shared" ca="1" si="16"/>
        <v>9</v>
      </c>
      <c r="AH51" s="1">
        <f t="shared" ca="1" si="17"/>
        <v>94</v>
      </c>
      <c r="AI51" s="1">
        <f t="shared" ca="1" si="14"/>
        <v>1</v>
      </c>
      <c r="AJ51" s="1">
        <f t="shared" ca="1" si="15"/>
        <v>1</v>
      </c>
      <c r="AO51" s="1">
        <f t="shared" ca="1" si="18"/>
        <v>2</v>
      </c>
      <c r="AP51" s="1">
        <f t="shared" ca="1" si="19"/>
        <v>25</v>
      </c>
      <c r="AS51" s="1">
        <f t="shared" ca="1" si="20"/>
        <v>51</v>
      </c>
      <c r="AV51" s="1">
        <f t="shared" ca="1" si="21"/>
        <v>-32</v>
      </c>
      <c r="AW51" s="1">
        <f t="shared" ca="1" si="22"/>
        <v>9</v>
      </c>
      <c r="AX51" t="s">
        <v>18</v>
      </c>
      <c r="AY51">
        <v>55</v>
      </c>
      <c r="AZ51">
        <v>45</v>
      </c>
      <c r="BA51">
        <v>0</v>
      </c>
      <c r="BB51">
        <v>0</v>
      </c>
      <c r="BE51">
        <v>34</v>
      </c>
      <c r="BF51" t="s">
        <v>92</v>
      </c>
      <c r="BG51" t="s">
        <v>103</v>
      </c>
      <c r="BQ51">
        <v>46</v>
      </c>
      <c r="BR51" t="s">
        <v>146</v>
      </c>
      <c r="BW51">
        <v>46</v>
      </c>
      <c r="BX51" t="s">
        <v>146</v>
      </c>
      <c r="BY51">
        <v>46</v>
      </c>
      <c r="BZ51" t="s">
        <v>151</v>
      </c>
      <c r="CA51">
        <v>46</v>
      </c>
      <c r="CB51" t="s">
        <v>144</v>
      </c>
      <c r="CC51">
        <v>46</v>
      </c>
      <c r="CD51" t="s">
        <v>145</v>
      </c>
      <c r="CF51">
        <v>47</v>
      </c>
      <c r="CG51" t="s">
        <v>182</v>
      </c>
      <c r="CI51">
        <v>47</v>
      </c>
      <c r="CJ51" t="s">
        <v>214</v>
      </c>
      <c r="CL51">
        <v>47</v>
      </c>
      <c r="CM51" t="s">
        <v>250</v>
      </c>
      <c r="CO51">
        <v>47</v>
      </c>
      <c r="CP51" t="s">
        <v>283</v>
      </c>
      <c r="CR51">
        <v>47</v>
      </c>
      <c r="CS51" t="s">
        <v>317</v>
      </c>
      <c r="CU51">
        <v>47</v>
      </c>
      <c r="CV51" t="s">
        <v>340</v>
      </c>
      <c r="CX51">
        <v>47</v>
      </c>
      <c r="CY51">
        <v>1</v>
      </c>
      <c r="DA51">
        <v>47</v>
      </c>
      <c r="DB51">
        <v>2</v>
      </c>
      <c r="DD51">
        <v>47</v>
      </c>
      <c r="DE51">
        <v>2</v>
      </c>
      <c r="DG51">
        <v>47</v>
      </c>
      <c r="DH51" t="s">
        <v>390</v>
      </c>
      <c r="DK51">
        <v>47</v>
      </c>
      <c r="DL51" t="s">
        <v>496</v>
      </c>
    </row>
    <row r="52" spans="4:116" x14ac:dyDescent="0.3">
      <c r="D52" t="str">
        <f t="shared" ca="1" si="5"/>
        <v>Opal</v>
      </c>
      <c r="E52" cm="1">
        <f t="array" aca="1" ref="E52" ca="1">_xlfn.IFS(D52="","",D52="Starstone", VLOOKUP($BK$4,$BK$6:$BM$11,3)*AI55*AJ55, D52 = "Tristal", VLOOKUP($BK$14,$BK$16:$BM$24,3)*AI55*AJ55, 1=1, VLOOKUP(AO55,$AX$75:$AZ$174,3)*AI55*AJ55)</f>
        <v>1000</v>
      </c>
      <c r="F52" t="str" cm="1">
        <f t="array" aca="1" ref="F52" ca="1">IF(D52="","",_xlfn.IFS(AH55&gt;5,"Normal",AND(AH55&lt;=5,$BK$28&lt;=4),VLOOKUP(AF55,$BK$29:$BN$39,2),AND(AH55&lt;=5,$BK$28&gt;=9),VLOOKUP(AF55,$BK$29:$BN$39,2), 1=1, "Normal"))</f>
        <v>Normal</v>
      </c>
      <c r="G52" t="str" cm="1">
        <f t="array" aca="1" ref="G52" ca="1">IF(D52="","",_xlfn.IFS(AH55&gt;5, "Normal", AND(AH55&lt;=5, $BL$28&lt;=8, $BL$28&gt;=5), VLOOKUP(AG55,$BK$29:$BN$39,3), AND(AH55&lt;=5,$BK$28&gt;=9), VLOOKUP(AG55,$BK$29:$BN$39,3), 1=1, "Normal"))</f>
        <v>Normal</v>
      </c>
      <c r="H52" t="str">
        <f t="shared" ca="1" si="2"/>
        <v/>
      </c>
      <c r="I52" t="str">
        <f t="shared" ca="1" si="3"/>
        <v/>
      </c>
      <c r="K52" t="str" cm="1">
        <f t="array" aca="1" ref="K52" ca="1">IF(L52="","",(_xlfn.IFS(L52&gt;=15000,VLOOKUP(AW55,$BE$5:$BH$15,4),L52&gt;=4000,VLOOKUP(AW55,$BE$5:$BH$15,3),L52&gt;=100,VLOOKUP(AW55,$BE$5:$BH$15,2))))</f>
        <v/>
      </c>
      <c r="L52" t="str">
        <f t="shared" ca="1" si="4"/>
        <v/>
      </c>
      <c r="AF52" s="1">
        <f t="shared" ca="1" si="16"/>
        <v>7</v>
      </c>
      <c r="AG52" s="1">
        <f t="shared" ca="1" si="16"/>
        <v>6</v>
      </c>
      <c r="AH52" s="1">
        <f t="shared" ca="1" si="17"/>
        <v>37</v>
      </c>
      <c r="AI52" s="1">
        <f t="shared" ca="1" si="14"/>
        <v>1</v>
      </c>
      <c r="AJ52" s="1">
        <f t="shared" ca="1" si="15"/>
        <v>1</v>
      </c>
      <c r="AO52" s="1">
        <f t="shared" ca="1" si="18"/>
        <v>73</v>
      </c>
      <c r="AP52" s="1">
        <f t="shared" ca="1" si="19"/>
        <v>24</v>
      </c>
      <c r="AS52" s="1">
        <f t="shared" ca="1" si="20"/>
        <v>41</v>
      </c>
      <c r="AV52" s="1">
        <f t="shared" ca="1" si="21"/>
        <v>-33</v>
      </c>
      <c r="AW52" s="1">
        <f t="shared" ca="1" si="22"/>
        <v>1</v>
      </c>
      <c r="AX52" t="s">
        <v>20</v>
      </c>
      <c r="AY52">
        <v>0</v>
      </c>
      <c r="AZ52">
        <v>0</v>
      </c>
      <c r="BA52">
        <v>10</v>
      </c>
      <c r="BB52">
        <v>40</v>
      </c>
      <c r="BE52">
        <v>35</v>
      </c>
      <c r="BF52" t="s">
        <v>92</v>
      </c>
      <c r="BG52" t="s">
        <v>103</v>
      </c>
      <c r="BQ52">
        <v>47</v>
      </c>
      <c r="BR52" t="s">
        <v>76</v>
      </c>
      <c r="BW52">
        <v>47</v>
      </c>
      <c r="BX52" t="s">
        <v>76</v>
      </c>
      <c r="BY52">
        <v>47</v>
      </c>
      <c r="BZ52" t="s">
        <v>151</v>
      </c>
      <c r="CA52">
        <v>47</v>
      </c>
      <c r="CB52" t="s">
        <v>144</v>
      </c>
      <c r="CC52">
        <v>47</v>
      </c>
      <c r="CD52" t="s">
        <v>145</v>
      </c>
      <c r="CF52">
        <v>48</v>
      </c>
      <c r="CG52" t="s">
        <v>182</v>
      </c>
      <c r="CI52">
        <v>48</v>
      </c>
      <c r="CJ52" t="s">
        <v>214</v>
      </c>
      <c r="CL52">
        <v>48</v>
      </c>
      <c r="CM52" t="s">
        <v>250</v>
      </c>
      <c r="CO52">
        <v>48</v>
      </c>
      <c r="CP52" t="s">
        <v>284</v>
      </c>
      <c r="CR52">
        <v>48</v>
      </c>
      <c r="CS52" t="s">
        <v>318</v>
      </c>
      <c r="CU52">
        <v>48</v>
      </c>
      <c r="CV52" t="s">
        <v>340</v>
      </c>
      <c r="CX52">
        <v>48</v>
      </c>
      <c r="CY52">
        <v>1</v>
      </c>
      <c r="DA52">
        <v>48</v>
      </c>
      <c r="DB52">
        <v>2</v>
      </c>
      <c r="DD52">
        <v>48</v>
      </c>
      <c r="DE52">
        <v>2</v>
      </c>
      <c r="DG52">
        <v>48</v>
      </c>
      <c r="DH52" t="s">
        <v>391</v>
      </c>
      <c r="DK52">
        <v>48</v>
      </c>
      <c r="DL52" t="s">
        <v>497</v>
      </c>
    </row>
    <row r="53" spans="4:116" x14ac:dyDescent="0.3">
      <c r="D53" t="str">
        <f t="shared" ca="1" si="5"/>
        <v>Ruby</v>
      </c>
      <c r="E53" cm="1">
        <f t="array" aca="1" ref="E53" ca="1">_xlfn.IFS(D53="","",D53="Starstone", VLOOKUP($BK$4,$BK$6:$BM$11,3)*AI56*AJ56, D53 = "Tristal", VLOOKUP($BK$14,$BK$16:$BM$24,3)*AI56*AJ56, 1=1, VLOOKUP(AO56,$AX$75:$AZ$174,3)*AI56*AJ56)</f>
        <v>5000</v>
      </c>
      <c r="F53" t="str" cm="1">
        <f t="array" aca="1" ref="F53" ca="1">IF(D53="","",_xlfn.IFS(AH56&gt;5,"Normal",AND(AH56&lt;=5,$BK$28&lt;=4),VLOOKUP(AF56,$BK$29:$BN$39,2),AND(AH56&lt;=5,$BK$28&gt;=9),VLOOKUP(AF56,$BK$29:$BN$39,2), 1=1, "Normal"))</f>
        <v>Normal</v>
      </c>
      <c r="G53" t="str" cm="1">
        <f t="array" aca="1" ref="G53" ca="1">IF(D53="","",_xlfn.IFS(AH56&gt;5, "Normal", AND(AH56&lt;=5, $BL$28&lt;=8, $BL$28&gt;=5), VLOOKUP(AG56,$BK$29:$BN$39,3), AND(AH56&lt;=5,$BK$28&gt;=9), VLOOKUP(AG56,$BK$29:$BN$39,3), 1=1, "Normal"))</f>
        <v>Normal</v>
      </c>
      <c r="H53" t="str">
        <f t="shared" ca="1" si="2"/>
        <v/>
      </c>
      <c r="I53" t="str">
        <f t="shared" ca="1" si="3"/>
        <v/>
      </c>
      <c r="K53" t="str" cm="1">
        <f t="array" aca="1" ref="K53" ca="1">IF(L53="","",(_xlfn.IFS(L53&gt;=15000,VLOOKUP(AW56,$BE$5:$BH$15,4),L53&gt;=4000,VLOOKUP(AW56,$BE$5:$BH$15,3),L53&gt;=100,VLOOKUP(AW56,$BE$5:$BH$15,2))))</f>
        <v/>
      </c>
      <c r="L53" t="str">
        <f t="shared" ca="1" si="4"/>
        <v/>
      </c>
      <c r="AF53" s="1">
        <f t="shared" ca="1" si="16"/>
        <v>2</v>
      </c>
      <c r="AG53" s="1">
        <f t="shared" ca="1" si="16"/>
        <v>5</v>
      </c>
      <c r="AH53" s="1">
        <f t="shared" ca="1" si="17"/>
        <v>40</v>
      </c>
      <c r="AI53" s="1">
        <f t="shared" ca="1" si="14"/>
        <v>1</v>
      </c>
      <c r="AJ53" s="1">
        <f t="shared" ca="1" si="15"/>
        <v>1</v>
      </c>
      <c r="AO53" s="1">
        <f t="shared" ca="1" si="18"/>
        <v>6</v>
      </c>
      <c r="AP53" s="1">
        <f t="shared" ca="1" si="19"/>
        <v>23</v>
      </c>
      <c r="AS53" s="1">
        <f t="shared" ca="1" si="20"/>
        <v>14</v>
      </c>
      <c r="AV53" s="1">
        <f t="shared" ca="1" si="21"/>
        <v>-34</v>
      </c>
      <c r="AW53" s="1">
        <f t="shared" ca="1" si="22"/>
        <v>1</v>
      </c>
      <c r="AX53" t="s">
        <v>21</v>
      </c>
      <c r="AY53">
        <v>0</v>
      </c>
      <c r="AZ53">
        <v>0</v>
      </c>
      <c r="BA53">
        <v>10</v>
      </c>
      <c r="BB53">
        <v>50</v>
      </c>
      <c r="BE53">
        <v>36</v>
      </c>
      <c r="BF53" t="s">
        <v>93</v>
      </c>
      <c r="BG53" t="s">
        <v>104</v>
      </c>
      <c r="BQ53">
        <v>48</v>
      </c>
      <c r="BR53" t="s">
        <v>76</v>
      </c>
      <c r="BW53">
        <v>48</v>
      </c>
      <c r="BX53" t="s">
        <v>76</v>
      </c>
      <c r="BY53">
        <v>48</v>
      </c>
      <c r="BZ53" t="s">
        <v>151</v>
      </c>
      <c r="CA53">
        <v>48</v>
      </c>
      <c r="CB53" t="s">
        <v>144</v>
      </c>
      <c r="CC53">
        <v>48</v>
      </c>
      <c r="CD53" t="s">
        <v>145</v>
      </c>
      <c r="CF53">
        <v>49</v>
      </c>
      <c r="CG53" t="s">
        <v>182</v>
      </c>
      <c r="CI53">
        <v>49</v>
      </c>
      <c r="CJ53" t="s">
        <v>215</v>
      </c>
      <c r="CL53">
        <v>49</v>
      </c>
      <c r="CM53" t="s">
        <v>250</v>
      </c>
      <c r="CO53">
        <v>49</v>
      </c>
      <c r="CP53" t="s">
        <v>284</v>
      </c>
      <c r="CR53">
        <v>49</v>
      </c>
      <c r="CS53" t="s">
        <v>318</v>
      </c>
      <c r="CU53">
        <v>49</v>
      </c>
      <c r="CV53" t="s">
        <v>340</v>
      </c>
      <c r="CX53">
        <v>49</v>
      </c>
      <c r="CY53">
        <v>1</v>
      </c>
      <c r="DA53">
        <v>49</v>
      </c>
      <c r="DB53">
        <v>2</v>
      </c>
      <c r="DD53">
        <v>49</v>
      </c>
      <c r="DE53">
        <v>2</v>
      </c>
      <c r="DG53">
        <v>49</v>
      </c>
      <c r="DH53" t="s">
        <v>195</v>
      </c>
      <c r="DK53">
        <v>49</v>
      </c>
      <c r="DL53" t="s">
        <v>498</v>
      </c>
    </row>
    <row r="54" spans="4:116" x14ac:dyDescent="0.3">
      <c r="D54" t="str">
        <f t="shared" ca="1" si="5"/>
        <v>Tristal</v>
      </c>
      <c r="E54" cm="1">
        <f t="array" aca="1" ref="E54" ca="1">_xlfn.IFS(D54="","",D54="Starstone", VLOOKUP($BK$4,$BK$6:$BM$11,3)*AI57*AJ57, D54 = "Tristal", VLOOKUP($BK$14,$BK$16:$BM$24,3)*AI57*AJ57, 1=1, VLOOKUP(AO57,$AX$75:$AZ$174,3)*AI57*AJ57)</f>
        <v>25000</v>
      </c>
      <c r="F54" t="str" cm="1">
        <f t="array" aca="1" ref="F54" ca="1">IF(D54="","",_xlfn.IFS(AH57&gt;5,"Normal",AND(AH57&lt;=5,$BK$28&lt;=4),VLOOKUP(AF57,$BK$29:$BN$39,2),AND(AH57&lt;=5,$BK$28&gt;=9),VLOOKUP(AF57,$BK$29:$BN$39,2), 1=1, "Normal"))</f>
        <v>Normal</v>
      </c>
      <c r="G54" t="str" cm="1">
        <f t="array" aca="1" ref="G54" ca="1">IF(D54="","",_xlfn.IFS(AH57&gt;5, "Normal", AND(AH57&lt;=5, $BL$28&lt;=8, $BL$28&gt;=5), VLOOKUP(AG57,$BK$29:$BN$39,3), AND(AH57&lt;=5,$BK$28&gt;=9), VLOOKUP(AG57,$BK$29:$BN$39,3), 1=1, "Normal"))</f>
        <v>Normal</v>
      </c>
      <c r="H54" t="str">
        <f t="shared" ca="1" si="2"/>
        <v>Golden-yellow</v>
      </c>
      <c r="I54" t="str">
        <f t="shared" ca="1" si="3"/>
        <v/>
      </c>
      <c r="K54" t="str" cm="1">
        <f t="array" aca="1" ref="K54" ca="1">IF(L54="","",(_xlfn.IFS(L54&gt;=15000,VLOOKUP(AW57,$BE$5:$BH$15,4),L54&gt;=4000,VLOOKUP(AW57,$BE$5:$BH$15,3),L54&gt;=100,VLOOKUP(AW57,$BE$5:$BH$15,2))))</f>
        <v/>
      </c>
      <c r="L54" t="str">
        <f t="shared" ca="1" si="4"/>
        <v/>
      </c>
      <c r="AF54" s="1">
        <f t="shared" ca="1" si="16"/>
        <v>4</v>
      </c>
      <c r="AG54" s="1">
        <f t="shared" ca="1" si="16"/>
        <v>3</v>
      </c>
      <c r="AH54" s="1">
        <f t="shared" ca="1" si="17"/>
        <v>58</v>
      </c>
      <c r="AI54" s="1">
        <f t="shared" ca="1" si="14"/>
        <v>1</v>
      </c>
      <c r="AJ54" s="1">
        <f t="shared" ca="1" si="15"/>
        <v>1</v>
      </c>
      <c r="AO54" s="1">
        <f t="shared" ca="1" si="18"/>
        <v>58</v>
      </c>
      <c r="AP54" s="1">
        <f t="shared" ca="1" si="19"/>
        <v>22</v>
      </c>
      <c r="AS54" s="1">
        <f t="shared" ca="1" si="20"/>
        <v>65</v>
      </c>
      <c r="AV54" s="1">
        <f t="shared" ca="1" si="21"/>
        <v>-35</v>
      </c>
      <c r="AW54" s="1">
        <f t="shared" ca="1" si="22"/>
        <v>4</v>
      </c>
      <c r="BE54">
        <v>37</v>
      </c>
      <c r="BF54" t="s">
        <v>93</v>
      </c>
      <c r="BG54" t="s">
        <v>104</v>
      </c>
      <c r="BQ54">
        <v>49</v>
      </c>
      <c r="BR54" t="s">
        <v>76</v>
      </c>
      <c r="BW54">
        <v>49</v>
      </c>
      <c r="BX54" t="s">
        <v>76</v>
      </c>
      <c r="BY54">
        <v>49</v>
      </c>
      <c r="BZ54" t="s">
        <v>151</v>
      </c>
      <c r="CA54">
        <v>49</v>
      </c>
      <c r="CB54" t="s">
        <v>144</v>
      </c>
      <c r="CC54">
        <v>49</v>
      </c>
      <c r="CD54" t="s">
        <v>145</v>
      </c>
      <c r="CF54">
        <v>50</v>
      </c>
      <c r="CG54" t="s">
        <v>183</v>
      </c>
      <c r="CI54">
        <v>50</v>
      </c>
      <c r="CJ54" t="s">
        <v>215</v>
      </c>
      <c r="CL54">
        <v>50</v>
      </c>
      <c r="CM54" t="s">
        <v>250</v>
      </c>
      <c r="CO54">
        <v>50</v>
      </c>
      <c r="CP54" t="s">
        <v>285</v>
      </c>
      <c r="CR54">
        <v>50</v>
      </c>
      <c r="CS54" t="s">
        <v>318</v>
      </c>
      <c r="CU54">
        <v>50</v>
      </c>
      <c r="CV54" t="s">
        <v>340</v>
      </c>
      <c r="CX54">
        <v>50</v>
      </c>
      <c r="CY54">
        <v>1</v>
      </c>
      <c r="DA54">
        <v>50</v>
      </c>
      <c r="DB54">
        <v>2</v>
      </c>
      <c r="DD54">
        <v>50</v>
      </c>
      <c r="DE54">
        <v>3</v>
      </c>
      <c r="DG54">
        <v>50</v>
      </c>
      <c r="DH54" t="s">
        <v>392</v>
      </c>
      <c r="DK54">
        <v>50</v>
      </c>
      <c r="DL54" t="s">
        <v>499</v>
      </c>
    </row>
    <row r="55" spans="4:116" x14ac:dyDescent="0.3">
      <c r="D55" t="str">
        <f t="shared" ca="1" si="5"/>
        <v>Ruby</v>
      </c>
      <c r="E55" cm="1">
        <f t="array" aca="1" ref="E55" ca="1">_xlfn.IFS(D55="","",D55="Starstone", VLOOKUP($BK$4,$BK$6:$BM$11,3)*AI58*AJ58, D55 = "Tristal", VLOOKUP($BK$14,$BK$16:$BM$24,3)*AI58*AJ58, 1=1, VLOOKUP(AO58,$AX$75:$AZ$174,3)*AI58*AJ58)</f>
        <v>5000</v>
      </c>
      <c r="F55" t="str" cm="1">
        <f t="array" aca="1" ref="F55" ca="1">IF(D55="","",_xlfn.IFS(AH58&gt;5,"Normal",AND(AH58&lt;=5,$BK$28&lt;=4),VLOOKUP(AF58,$BK$29:$BN$39,2),AND(AH58&lt;=5,$BK$28&gt;=9),VLOOKUP(AF58,$BK$29:$BN$39,2), 1=1, "Normal"))</f>
        <v>Normal</v>
      </c>
      <c r="G55" t="str" cm="1">
        <f t="array" aca="1" ref="G55" ca="1">IF(D55="","",_xlfn.IFS(AH58&gt;5, "Normal", AND(AH58&lt;=5, $BL$28&lt;=8, $BL$28&gt;=5), VLOOKUP(AG58,$BK$29:$BN$39,3), AND(AH58&lt;=5,$BK$28&gt;=9), VLOOKUP(AG58,$BK$29:$BN$39,3), 1=1, "Normal"))</f>
        <v>Normal</v>
      </c>
      <c r="H55" t="str">
        <f t="shared" ca="1" si="2"/>
        <v/>
      </c>
      <c r="I55" t="str">
        <f t="shared" ca="1" si="3"/>
        <v/>
      </c>
      <c r="K55" t="str" cm="1">
        <f t="array" aca="1" ref="K55" ca="1">IF(L55="","",(_xlfn.IFS(L55&gt;=15000,VLOOKUP(AW58,$BE$5:$BH$15,4),L55&gt;=4000,VLOOKUP(AW58,$BE$5:$BH$15,3),L55&gt;=100,VLOOKUP(AW58,$BE$5:$BH$15,2))))</f>
        <v/>
      </c>
      <c r="L55" t="str">
        <f t="shared" ca="1" si="4"/>
        <v/>
      </c>
      <c r="AF55" s="1">
        <f t="shared" ca="1" si="16"/>
        <v>9</v>
      </c>
      <c r="AG55" s="1">
        <f t="shared" ca="1" si="16"/>
        <v>4</v>
      </c>
      <c r="AH55" s="1">
        <f t="shared" ca="1" si="17"/>
        <v>28</v>
      </c>
      <c r="AI55" s="1">
        <f t="shared" ca="1" si="14"/>
        <v>1</v>
      </c>
      <c r="AJ55" s="1">
        <f t="shared" ca="1" si="15"/>
        <v>1</v>
      </c>
      <c r="AO55" s="1">
        <f t="shared" ca="1" si="18"/>
        <v>70</v>
      </c>
      <c r="AP55" s="1">
        <f t="shared" ca="1" si="19"/>
        <v>21</v>
      </c>
      <c r="AS55" s="1">
        <f t="shared" ca="1" si="20"/>
        <v>52</v>
      </c>
      <c r="AV55" s="1">
        <f t="shared" ca="1" si="21"/>
        <v>-36</v>
      </c>
      <c r="AW55" s="1">
        <f t="shared" ca="1" si="22"/>
        <v>7</v>
      </c>
      <c r="BE55">
        <v>38</v>
      </c>
      <c r="BF55" t="s">
        <v>93</v>
      </c>
      <c r="BG55" t="s">
        <v>104</v>
      </c>
      <c r="BQ55">
        <v>50</v>
      </c>
      <c r="BR55" t="s">
        <v>76</v>
      </c>
      <c r="BW55">
        <v>50</v>
      </c>
      <c r="BX55" t="s">
        <v>76</v>
      </c>
      <c r="BY55">
        <v>50</v>
      </c>
      <c r="BZ55" t="s">
        <v>151</v>
      </c>
      <c r="CA55">
        <v>50</v>
      </c>
      <c r="CB55" t="s">
        <v>144</v>
      </c>
      <c r="CC55">
        <v>50</v>
      </c>
      <c r="CD55" t="s">
        <v>145</v>
      </c>
      <c r="CF55">
        <v>51</v>
      </c>
      <c r="CG55" t="s">
        <v>183</v>
      </c>
      <c r="CI55">
        <v>51</v>
      </c>
      <c r="CJ55" t="s">
        <v>216</v>
      </c>
      <c r="CL55">
        <v>51</v>
      </c>
      <c r="CM55" t="s">
        <v>251</v>
      </c>
      <c r="CO55">
        <v>51</v>
      </c>
      <c r="CP55" t="s">
        <v>285</v>
      </c>
      <c r="CR55">
        <v>51</v>
      </c>
      <c r="CS55" t="s">
        <v>318</v>
      </c>
      <c r="CU55">
        <v>51</v>
      </c>
      <c r="CV55" t="s">
        <v>340</v>
      </c>
      <c r="CX55">
        <v>51</v>
      </c>
      <c r="CY55">
        <v>2</v>
      </c>
      <c r="DA55">
        <v>51</v>
      </c>
      <c r="DB55">
        <v>2</v>
      </c>
      <c r="DD55">
        <v>51</v>
      </c>
      <c r="DE55">
        <v>3</v>
      </c>
      <c r="DG55">
        <v>51</v>
      </c>
      <c r="DH55" t="s">
        <v>393</v>
      </c>
      <c r="DK55">
        <v>51</v>
      </c>
      <c r="DL55" t="s">
        <v>500</v>
      </c>
    </row>
    <row r="56" spans="4:116" x14ac:dyDescent="0.3">
      <c r="D56" t="str">
        <f t="shared" ca="1" si="5"/>
        <v>Topaz</v>
      </c>
      <c r="E56" cm="1">
        <f t="array" aca="1" ref="E56" ca="1">_xlfn.IFS(D56="","",D56="Starstone", VLOOKUP($BK$4,$BK$6:$BM$11,3)*AI59*AJ59, D56 = "Tristal", VLOOKUP($BK$14,$BK$16:$BM$24,3)*AI59*AJ59, 1=1, VLOOKUP(AO59,$AX$75:$AZ$174,3)*AI59*AJ59)</f>
        <v>500</v>
      </c>
      <c r="F56" t="str" cm="1">
        <f t="array" aca="1" ref="F56" ca="1">IF(D56="","",_xlfn.IFS(AH59&gt;5,"Normal",AND(AH59&lt;=5,$BK$28&lt;=4),VLOOKUP(AF59,$BK$29:$BN$39,2),AND(AH59&lt;=5,$BK$28&gt;=9),VLOOKUP(AF59,$BK$29:$BN$39,2), 1=1, "Normal"))</f>
        <v>Normal</v>
      </c>
      <c r="G56" t="str" cm="1">
        <f t="array" aca="1" ref="G56" ca="1">IF(D56="","",_xlfn.IFS(AH59&gt;5, "Normal", AND(AH59&lt;=5, $BL$28&lt;=8, $BL$28&gt;=5), VLOOKUP(AG59,$BK$29:$BN$39,3), AND(AH59&lt;=5,$BK$28&gt;=9), VLOOKUP(AG59,$BK$29:$BN$39,3), 1=1, "Normal"))</f>
        <v>Normal</v>
      </c>
      <c r="H56" t="str">
        <f t="shared" ca="1" si="2"/>
        <v/>
      </c>
      <c r="I56" t="str">
        <f t="shared" ca="1" si="3"/>
        <v/>
      </c>
      <c r="K56" t="str" cm="1">
        <f t="array" aca="1" ref="K56" ca="1">IF(L56="","",(_xlfn.IFS(L56&gt;=15000,VLOOKUP(AW59,$BE$5:$BH$15,4),L56&gt;=4000,VLOOKUP(AW59,$BE$5:$BH$15,3),L56&gt;=100,VLOOKUP(AW59,$BE$5:$BH$15,2))))</f>
        <v/>
      </c>
      <c r="L56" t="str">
        <f t="shared" ca="1" si="4"/>
        <v/>
      </c>
      <c r="AF56" s="1">
        <f t="shared" ca="1" si="16"/>
        <v>7</v>
      </c>
      <c r="AG56" s="1">
        <f t="shared" ca="1" si="16"/>
        <v>9</v>
      </c>
      <c r="AH56" s="1">
        <f t="shared" ca="1" si="17"/>
        <v>49</v>
      </c>
      <c r="AI56" s="1">
        <f t="shared" ca="1" si="14"/>
        <v>1</v>
      </c>
      <c r="AJ56" s="1">
        <f t="shared" ca="1" si="15"/>
        <v>1</v>
      </c>
      <c r="AO56" s="1">
        <f t="shared" ca="1" si="18"/>
        <v>88</v>
      </c>
      <c r="AP56" s="1">
        <f t="shared" ca="1" si="19"/>
        <v>20</v>
      </c>
      <c r="AS56" s="1">
        <f t="shared" ca="1" si="20"/>
        <v>90</v>
      </c>
      <c r="AV56" s="1">
        <f t="shared" ca="1" si="21"/>
        <v>-37</v>
      </c>
      <c r="AW56" s="1">
        <f t="shared" ca="1" si="22"/>
        <v>1</v>
      </c>
      <c r="AY56" t="s">
        <v>23</v>
      </c>
      <c r="AZ56" t="s">
        <v>5</v>
      </c>
      <c r="BA56" t="s">
        <v>6</v>
      </c>
      <c r="BB56" t="s">
        <v>24</v>
      </c>
      <c r="BE56">
        <v>39</v>
      </c>
      <c r="BF56" t="s">
        <v>93</v>
      </c>
      <c r="BG56" t="s">
        <v>104</v>
      </c>
      <c r="BQ56">
        <v>51</v>
      </c>
      <c r="BR56" t="s">
        <v>76</v>
      </c>
      <c r="BW56">
        <v>51</v>
      </c>
      <c r="BX56" t="s">
        <v>76</v>
      </c>
      <c r="BY56">
        <v>51</v>
      </c>
      <c r="BZ56" t="s">
        <v>151</v>
      </c>
      <c r="CA56">
        <v>51</v>
      </c>
      <c r="CB56" t="s">
        <v>144</v>
      </c>
      <c r="CC56">
        <v>51</v>
      </c>
      <c r="CD56" t="s">
        <v>145</v>
      </c>
      <c r="CF56">
        <v>52</v>
      </c>
      <c r="CG56" t="s">
        <v>184</v>
      </c>
      <c r="CI56">
        <v>52</v>
      </c>
      <c r="CJ56" t="s">
        <v>217</v>
      </c>
      <c r="CL56">
        <v>52</v>
      </c>
      <c r="CM56" t="s">
        <v>251</v>
      </c>
      <c r="CO56">
        <v>52</v>
      </c>
      <c r="CP56" t="s">
        <v>286</v>
      </c>
      <c r="CR56">
        <v>52</v>
      </c>
      <c r="CS56" t="s">
        <v>318</v>
      </c>
      <c r="CU56">
        <v>52</v>
      </c>
      <c r="CV56" t="s">
        <v>340</v>
      </c>
      <c r="CX56">
        <v>52</v>
      </c>
      <c r="CY56">
        <v>2</v>
      </c>
      <c r="DA56">
        <v>52</v>
      </c>
      <c r="DB56">
        <v>2</v>
      </c>
      <c r="DD56">
        <v>52</v>
      </c>
      <c r="DE56">
        <v>3</v>
      </c>
      <c r="DG56">
        <v>52</v>
      </c>
      <c r="DH56" t="s">
        <v>394</v>
      </c>
      <c r="DI56">
        <v>4</v>
      </c>
      <c r="DK56">
        <v>52</v>
      </c>
      <c r="DL56" t="s">
        <v>501</v>
      </c>
    </row>
    <row r="57" spans="4:116" x14ac:dyDescent="0.3">
      <c r="D57" t="str">
        <f t="shared" ca="1" si="5"/>
        <v>Carbuncle</v>
      </c>
      <c r="E57" cm="1">
        <f t="array" aca="1" ref="E57" ca="1">_xlfn.IFS(D57="","",D57="Starstone", VLOOKUP($BK$4,$BK$6:$BM$11,3)*AI60*AJ60, D57 = "Tristal", VLOOKUP($BK$14,$BK$16:$BM$24,3)*AI60*AJ60, 1=1, VLOOKUP(AO60,$AX$75:$AZ$174,3)*AI60*AJ60)</f>
        <v>1000</v>
      </c>
      <c r="F57" t="str" cm="1">
        <f t="array" aca="1" ref="F57" ca="1">IF(D57="","",_xlfn.IFS(AH60&gt;5,"Normal",AND(AH60&lt;=5,$BK$28&lt;=4),VLOOKUP(AF60,$BK$29:$BN$39,2),AND(AH60&lt;=5,$BK$28&gt;=9),VLOOKUP(AF60,$BK$29:$BN$39,2), 1=1, "Normal"))</f>
        <v>Normal</v>
      </c>
      <c r="G57" t="str" cm="1">
        <f t="array" aca="1" ref="G57" ca="1">IF(D57="","",_xlfn.IFS(AH60&gt;5, "Normal", AND(AH60&lt;=5, $BL$28&lt;=8, $BL$28&gt;=5), VLOOKUP(AG60,$BK$29:$BN$39,3), AND(AH60&lt;=5,$BK$28&gt;=9), VLOOKUP(AG60,$BK$29:$BN$39,3), 1=1, "Normal"))</f>
        <v>Normal</v>
      </c>
      <c r="H57" t="str">
        <f t="shared" ca="1" si="2"/>
        <v/>
      </c>
      <c r="I57" t="str">
        <f t="shared" ca="1" si="3"/>
        <v/>
      </c>
      <c r="K57" t="str" cm="1">
        <f t="array" aca="1" ref="K57" ca="1">IF(L57="","",(_xlfn.IFS(L57&gt;=15000,VLOOKUP(AW60,$BE$5:$BH$15,4),L57&gt;=4000,VLOOKUP(AW60,$BE$5:$BH$15,3),L57&gt;=100,VLOOKUP(AW60,$BE$5:$BH$15,2))))</f>
        <v/>
      </c>
      <c r="L57" t="str">
        <f t="shared" ca="1" si="4"/>
        <v/>
      </c>
      <c r="AF57" s="1">
        <f t="shared" ca="1" si="16"/>
        <v>2</v>
      </c>
      <c r="AG57" s="1">
        <f t="shared" ca="1" si="16"/>
        <v>6</v>
      </c>
      <c r="AH57" s="1">
        <f t="shared" ca="1" si="17"/>
        <v>98</v>
      </c>
      <c r="AI57" s="1">
        <f t="shared" ca="1" si="14"/>
        <v>1</v>
      </c>
      <c r="AJ57" s="1">
        <f t="shared" ca="1" si="15"/>
        <v>1</v>
      </c>
      <c r="AO57" s="1">
        <f t="shared" ca="1" si="18"/>
        <v>100</v>
      </c>
      <c r="AP57" s="1">
        <f t="shared" ca="1" si="19"/>
        <v>19</v>
      </c>
      <c r="AS57" s="1">
        <f t="shared" ca="1" si="20"/>
        <v>32</v>
      </c>
      <c r="AV57" s="1">
        <f t="shared" ca="1" si="21"/>
        <v>-38</v>
      </c>
      <c r="AW57" s="1">
        <f t="shared" ca="1" si="22"/>
        <v>6</v>
      </c>
      <c r="AX57" t="s">
        <v>7</v>
      </c>
      <c r="AY57">
        <f ca="1">RANDBETWEEN(1,6)+RANDBETWEEN(1,6)+RANDBETWEEN(1,6)+RANDBETWEEN(1,6)+RANDBETWEEN(1,6)+RANDBETWEEN(1,6)</f>
        <v>19</v>
      </c>
      <c r="AZ57">
        <f ca="1">RANDBETWEEN(1,6)+RANDBETWEEN(1,6)+RANDBETWEEN(1,6)+RANDBETWEEN(1,6)+RANDBETWEEN(1,6)+RANDBETWEEN(1,6)</f>
        <v>26</v>
      </c>
      <c r="BA57">
        <f ca="1">RANDBETWEEN(1,2)</f>
        <v>2</v>
      </c>
      <c r="BB57">
        <v>3</v>
      </c>
      <c r="BE57">
        <v>40</v>
      </c>
      <c r="BF57" t="s">
        <v>93</v>
      </c>
      <c r="BG57" t="s">
        <v>104</v>
      </c>
      <c r="BQ57">
        <v>52</v>
      </c>
      <c r="BR57" t="s">
        <v>76</v>
      </c>
      <c r="BW57">
        <v>52</v>
      </c>
      <c r="BX57" t="s">
        <v>76</v>
      </c>
      <c r="BY57">
        <v>52</v>
      </c>
      <c r="BZ57" t="s">
        <v>151</v>
      </c>
      <c r="CA57">
        <v>52</v>
      </c>
      <c r="CB57" t="s">
        <v>144</v>
      </c>
      <c r="CC57">
        <v>52</v>
      </c>
      <c r="CD57" t="s">
        <v>145</v>
      </c>
      <c r="CF57">
        <v>53</v>
      </c>
      <c r="CG57" t="s">
        <v>184</v>
      </c>
      <c r="CI57">
        <v>53</v>
      </c>
      <c r="CJ57" t="s">
        <v>217</v>
      </c>
      <c r="CL57">
        <v>53</v>
      </c>
      <c r="CM57" t="s">
        <v>251</v>
      </c>
      <c r="CO57">
        <v>53</v>
      </c>
      <c r="CP57" t="s">
        <v>287</v>
      </c>
      <c r="CR57">
        <v>53</v>
      </c>
      <c r="CS57" t="s">
        <v>319</v>
      </c>
      <c r="CU57">
        <v>53</v>
      </c>
      <c r="CV57" t="s">
        <v>340</v>
      </c>
      <c r="CX57">
        <v>53</v>
      </c>
      <c r="CY57">
        <v>2</v>
      </c>
      <c r="DA57">
        <v>53</v>
      </c>
      <c r="DB57">
        <v>2</v>
      </c>
      <c r="DD57">
        <v>53</v>
      </c>
      <c r="DE57">
        <v>3</v>
      </c>
      <c r="DG57">
        <v>53</v>
      </c>
      <c r="DH57" t="s">
        <v>395</v>
      </c>
      <c r="DI57">
        <v>5</v>
      </c>
      <c r="DK57">
        <v>53</v>
      </c>
      <c r="DL57" t="s">
        <v>225</v>
      </c>
    </row>
    <row r="58" spans="4:116" x14ac:dyDescent="0.3">
      <c r="D58" t="str">
        <f t="shared" ca="1" si="5"/>
        <v>Aquamarine</v>
      </c>
      <c r="E58" cm="1">
        <f t="array" aca="1" ref="E58" ca="1">_xlfn.IFS(D58="","",D58="Starstone", VLOOKUP($BK$4,$BK$6:$BM$11,3)*AI61*AJ61, D58 = "Tristal", VLOOKUP($BK$14,$BK$16:$BM$24,3)*AI61*AJ61, 1=1, VLOOKUP(AO61,$AX$75:$AZ$174,3)*AI61*AJ61)</f>
        <v>500</v>
      </c>
      <c r="F58" t="str" cm="1">
        <f t="array" aca="1" ref="F58" ca="1">IF(D58="","",_xlfn.IFS(AH61&gt;5,"Normal",AND(AH61&lt;=5,$BK$28&lt;=4),VLOOKUP(AF61,$BK$29:$BN$39,2),AND(AH61&lt;=5,$BK$28&gt;=9),VLOOKUP(AF61,$BK$29:$BN$39,2), 1=1, "Normal"))</f>
        <v>Normal</v>
      </c>
      <c r="G58" t="str" cm="1">
        <f t="array" aca="1" ref="G58" ca="1">IF(D58="","",_xlfn.IFS(AH61&gt;5, "Normal", AND(AH61&lt;=5, $BL$28&lt;=8, $BL$28&gt;=5), VLOOKUP(AG61,$BK$29:$BN$39,3), AND(AH61&lt;=5,$BK$28&gt;=9), VLOOKUP(AG61,$BK$29:$BN$39,3), 1=1, "Normal"))</f>
        <v>Normal</v>
      </c>
      <c r="H58" t="str">
        <f t="shared" ca="1" si="2"/>
        <v/>
      </c>
      <c r="I58" t="str">
        <f t="shared" ca="1" si="3"/>
        <v/>
      </c>
      <c r="K58" t="str" cm="1">
        <f t="array" aca="1" ref="K58" ca="1">IF(L58="","",(_xlfn.IFS(L58&gt;=15000,VLOOKUP(AW61,$BE$5:$BH$15,4),L58&gt;=4000,VLOOKUP(AW61,$BE$5:$BH$15,3),L58&gt;=100,VLOOKUP(AW61,$BE$5:$BH$15,2))))</f>
        <v/>
      </c>
      <c r="L58" t="str">
        <f t="shared" ca="1" si="4"/>
        <v/>
      </c>
      <c r="AF58" s="1">
        <f t="shared" ca="1" si="16"/>
        <v>3</v>
      </c>
      <c r="AG58" s="1">
        <f t="shared" ca="1" si="16"/>
        <v>9</v>
      </c>
      <c r="AH58" s="1">
        <f t="shared" ca="1" si="17"/>
        <v>64</v>
      </c>
      <c r="AI58" s="1">
        <f t="shared" ca="1" si="14"/>
        <v>1</v>
      </c>
      <c r="AJ58" s="1">
        <f t="shared" ca="1" si="15"/>
        <v>1</v>
      </c>
      <c r="AO58" s="1">
        <f t="shared" ca="1" si="18"/>
        <v>85</v>
      </c>
      <c r="AP58" s="1">
        <f t="shared" ca="1" si="19"/>
        <v>18</v>
      </c>
      <c r="AS58" s="1">
        <f t="shared" ca="1" si="20"/>
        <v>5</v>
      </c>
      <c r="AV58" s="1">
        <f t="shared" ca="1" si="21"/>
        <v>-39</v>
      </c>
      <c r="AW58" s="1">
        <f t="shared" ca="1" si="22"/>
        <v>2</v>
      </c>
      <c r="AX58" t="s">
        <v>8</v>
      </c>
      <c r="AY58">
        <f ca="1">RANDBETWEEN(1,6)</f>
        <v>3</v>
      </c>
      <c r="AZ58">
        <f ca="1">RANDBETWEEN(1,6)</f>
        <v>3</v>
      </c>
      <c r="BE58">
        <v>41</v>
      </c>
      <c r="BF58" t="s">
        <v>94</v>
      </c>
      <c r="BG58" t="s">
        <v>105</v>
      </c>
      <c r="BQ58">
        <v>53</v>
      </c>
      <c r="BR58" t="s">
        <v>147</v>
      </c>
      <c r="BW58">
        <v>53</v>
      </c>
      <c r="BX58" t="s">
        <v>147</v>
      </c>
      <c r="BY58">
        <v>53</v>
      </c>
      <c r="BZ58" t="s">
        <v>151</v>
      </c>
      <c r="CA58">
        <v>53</v>
      </c>
      <c r="CB58" t="s">
        <v>144</v>
      </c>
      <c r="CC58">
        <v>53</v>
      </c>
      <c r="CD58" t="s">
        <v>145</v>
      </c>
      <c r="CF58">
        <v>54</v>
      </c>
      <c r="CG58" t="s">
        <v>184</v>
      </c>
      <c r="CI58">
        <v>54</v>
      </c>
      <c r="CJ58" t="s">
        <v>217</v>
      </c>
      <c r="CL58">
        <v>54</v>
      </c>
      <c r="CM58" t="s">
        <v>251</v>
      </c>
      <c r="CO58">
        <v>54</v>
      </c>
      <c r="CP58" t="s">
        <v>288</v>
      </c>
      <c r="CR58">
        <v>54</v>
      </c>
      <c r="CS58" t="s">
        <v>319</v>
      </c>
      <c r="CU58">
        <v>54</v>
      </c>
      <c r="CV58" t="s">
        <v>340</v>
      </c>
      <c r="CX58">
        <v>54</v>
      </c>
      <c r="CY58">
        <v>2</v>
      </c>
      <c r="DA58">
        <v>54</v>
      </c>
      <c r="DB58">
        <v>2</v>
      </c>
      <c r="DD58">
        <v>54</v>
      </c>
      <c r="DE58">
        <v>3</v>
      </c>
      <c r="DG58">
        <v>54</v>
      </c>
      <c r="DH58" t="s">
        <v>396</v>
      </c>
      <c r="DK58">
        <v>54</v>
      </c>
      <c r="DL58" t="s">
        <v>444</v>
      </c>
    </row>
    <row r="59" spans="4:116" x14ac:dyDescent="0.3">
      <c r="D59" t="str">
        <f t="shared" ca="1" si="5"/>
        <v>Garnet</v>
      </c>
      <c r="E59" cm="1">
        <f t="array" aca="1" ref="E59" ca="1">_xlfn.IFS(D59="","",D59="Starstone", VLOOKUP($BK$4,$BK$6:$BM$11,3)*AI62*AJ62, D59 = "Tristal", VLOOKUP($BK$14,$BK$16:$BM$24,3)*AI62*AJ62, 1=1, VLOOKUP(AO62,$AX$75:$AZ$174,3)*AI62*AJ62)</f>
        <v>100</v>
      </c>
      <c r="F59" t="str" cm="1">
        <f t="array" aca="1" ref="F59" ca="1">IF(D59="","",_xlfn.IFS(AH62&gt;5,"Normal",AND(AH62&lt;=5,$BK$28&lt;=4),VLOOKUP(AF62,$BK$29:$BN$39,2),AND(AH62&lt;=5,$BK$28&gt;=9),VLOOKUP(AF62,$BK$29:$BN$39,2), 1=1, "Normal"))</f>
        <v>Normal</v>
      </c>
      <c r="G59" t="str" cm="1">
        <f t="array" aca="1" ref="G59" ca="1">IF(D59="","",_xlfn.IFS(AH62&gt;5, "Normal", AND(AH62&lt;=5, $BL$28&lt;=8, $BL$28&gt;=5), VLOOKUP(AG62,$BK$29:$BN$39,3), AND(AH62&lt;=5,$BK$28&gt;=9), VLOOKUP(AG62,$BK$29:$BN$39,3), 1=1, "Normal"))</f>
        <v>Normal</v>
      </c>
      <c r="H59" t="str">
        <f t="shared" ca="1" si="2"/>
        <v/>
      </c>
      <c r="I59" t="str">
        <f t="shared" ca="1" si="3"/>
        <v/>
      </c>
      <c r="K59" t="str" cm="1">
        <f t="array" aca="1" ref="K59" ca="1">IF(L59="","",(_xlfn.IFS(L59&gt;=15000,VLOOKUP(AW62,$BE$5:$BH$15,4),L59&gt;=4000,VLOOKUP(AW62,$BE$5:$BH$15,3),L59&gt;=100,VLOOKUP(AW62,$BE$5:$BH$15,2))))</f>
        <v/>
      </c>
      <c r="L59" t="str">
        <f t="shared" ca="1" si="4"/>
        <v/>
      </c>
      <c r="AF59" s="1">
        <f t="shared" ca="1" si="16"/>
        <v>4</v>
      </c>
      <c r="AG59" s="1">
        <f t="shared" ca="1" si="16"/>
        <v>5</v>
      </c>
      <c r="AH59" s="1">
        <f t="shared" ca="1" si="17"/>
        <v>31</v>
      </c>
      <c r="AI59" s="1">
        <f t="shared" ca="1" si="14"/>
        <v>1</v>
      </c>
      <c r="AJ59" s="1">
        <f t="shared" ca="1" si="15"/>
        <v>1</v>
      </c>
      <c r="AO59" s="1">
        <f t="shared" ca="1" si="18"/>
        <v>43</v>
      </c>
      <c r="AP59" s="1">
        <f t="shared" ca="1" si="19"/>
        <v>17</v>
      </c>
      <c r="AS59" s="1">
        <f t="shared" ca="1" si="20"/>
        <v>76</v>
      </c>
      <c r="AV59" s="1">
        <f t="shared" ca="1" si="21"/>
        <v>-40</v>
      </c>
      <c r="AW59" s="1">
        <f t="shared" ca="1" si="22"/>
        <v>6</v>
      </c>
      <c r="AX59" t="s">
        <v>9</v>
      </c>
      <c r="AY59">
        <f ca="1">RANDBETWEEN(1,4)</f>
        <v>4</v>
      </c>
      <c r="AZ59">
        <f ca="1">RANDBETWEEN(1,4)</f>
        <v>4</v>
      </c>
      <c r="BE59">
        <v>42</v>
      </c>
      <c r="BF59" t="s">
        <v>94</v>
      </c>
      <c r="BG59" t="s">
        <v>105</v>
      </c>
      <c r="BQ59">
        <v>54</v>
      </c>
      <c r="BR59" t="s">
        <v>147</v>
      </c>
      <c r="BW59">
        <v>54</v>
      </c>
      <c r="BX59" t="s">
        <v>147</v>
      </c>
      <c r="BY59">
        <v>54</v>
      </c>
      <c r="BZ59" t="s">
        <v>151</v>
      </c>
      <c r="CA59">
        <v>54</v>
      </c>
      <c r="CB59" t="s">
        <v>144</v>
      </c>
      <c r="CC59">
        <v>54</v>
      </c>
      <c r="CD59" t="s">
        <v>145</v>
      </c>
      <c r="CF59">
        <v>55</v>
      </c>
      <c r="CG59" t="s">
        <v>184</v>
      </c>
      <c r="CI59">
        <v>55</v>
      </c>
      <c r="CJ59" t="s">
        <v>217</v>
      </c>
      <c r="CL59">
        <v>55</v>
      </c>
      <c r="CM59" t="s">
        <v>252</v>
      </c>
      <c r="CO59">
        <v>55</v>
      </c>
      <c r="CP59" t="s">
        <v>289</v>
      </c>
      <c r="CR59">
        <v>55</v>
      </c>
      <c r="CS59" t="s">
        <v>319</v>
      </c>
      <c r="CU59">
        <v>55</v>
      </c>
      <c r="CV59" t="s">
        <v>340</v>
      </c>
      <c r="CX59">
        <v>55</v>
      </c>
      <c r="CY59">
        <v>2</v>
      </c>
      <c r="DA59">
        <v>55</v>
      </c>
      <c r="DB59">
        <v>2</v>
      </c>
      <c r="DD59">
        <v>55</v>
      </c>
      <c r="DE59">
        <v>3</v>
      </c>
      <c r="DG59">
        <v>55</v>
      </c>
      <c r="DH59" t="s">
        <v>397</v>
      </c>
      <c r="DK59">
        <v>55</v>
      </c>
      <c r="DL59" t="s">
        <v>456</v>
      </c>
    </row>
    <row r="60" spans="4:116" x14ac:dyDescent="0.3">
      <c r="D60" t="str">
        <f t="shared" ca="1" si="5"/>
        <v>Jacinth</v>
      </c>
      <c r="E60" cm="1">
        <f t="array" aca="1" ref="E60" ca="1">_xlfn.IFS(D60="","",D60="Starstone", VLOOKUP($BK$4,$BK$6:$BM$11,3)*AI63*AJ63, D60 = "Tristal", VLOOKUP($BK$14,$BK$16:$BM$24,3)*AI63*AJ63, 1=1, VLOOKUP(AO63,$AX$75:$AZ$174,3)*AI63*AJ63)</f>
        <v>10000</v>
      </c>
      <c r="F60" t="str" cm="1">
        <f t="array" aca="1" ref="F60" ca="1">IF(D60="","",_xlfn.IFS(AH63&gt;5,"Normal",AND(AH63&lt;=5,$BK$28&lt;=4),VLOOKUP(AF63,$BK$29:$BN$39,2),AND(AH63&lt;=5,$BK$28&gt;=9),VLOOKUP(AF63,$BK$29:$BN$39,2), 1=1, "Normal"))</f>
        <v>Normal</v>
      </c>
      <c r="G60" t="str" cm="1">
        <f t="array" aca="1" ref="G60" ca="1">IF(D60="","",_xlfn.IFS(AH63&gt;5, "Normal", AND(AH63&lt;=5, $BL$28&lt;=8, $BL$28&gt;=5), VLOOKUP(AG63,$BK$29:$BN$39,3), AND(AH63&lt;=5,$BK$28&gt;=9), VLOOKUP(AG63,$BK$29:$BN$39,3), 1=1, "Normal"))</f>
        <v>Normal</v>
      </c>
      <c r="H60" t="str">
        <f t="shared" ca="1" si="2"/>
        <v/>
      </c>
      <c r="I60" t="str">
        <f t="shared" ca="1" si="3"/>
        <v/>
      </c>
      <c r="K60" t="str" cm="1">
        <f t="array" aca="1" ref="K60" ca="1">IF(L60="","",(_xlfn.IFS(L60&gt;=15000,VLOOKUP(AW63,$BE$5:$BH$15,4),L60&gt;=4000,VLOOKUP(AW63,$BE$5:$BH$15,3),L60&gt;=100,VLOOKUP(AW63,$BE$5:$BH$15,2))))</f>
        <v/>
      </c>
      <c r="L60" t="str">
        <f t="shared" ca="1" si="4"/>
        <v/>
      </c>
      <c r="AF60" s="1">
        <f t="shared" ca="1" si="16"/>
        <v>7</v>
      </c>
      <c r="AG60" s="1">
        <f t="shared" ca="1" si="16"/>
        <v>4</v>
      </c>
      <c r="AH60" s="1">
        <f t="shared" ca="1" si="17"/>
        <v>11</v>
      </c>
      <c r="AI60" s="1">
        <f t="shared" ca="1" si="14"/>
        <v>1</v>
      </c>
      <c r="AJ60" s="1">
        <f t="shared" ca="1" si="15"/>
        <v>1</v>
      </c>
      <c r="AO60" s="1">
        <f t="shared" ca="1" si="18"/>
        <v>59</v>
      </c>
      <c r="AP60" s="1">
        <f t="shared" ca="1" si="19"/>
        <v>16</v>
      </c>
      <c r="AS60" s="1">
        <f t="shared" ca="1" si="20"/>
        <v>7</v>
      </c>
      <c r="AV60" s="1">
        <f t="shared" ca="1" si="21"/>
        <v>-41</v>
      </c>
      <c r="AW60" s="1">
        <f t="shared" ca="1" si="22"/>
        <v>4</v>
      </c>
      <c r="AX60" t="s">
        <v>10</v>
      </c>
      <c r="AY60">
        <f ca="1">RANDBETWEEN(1,8)</f>
        <v>6</v>
      </c>
      <c r="AZ60">
        <f ca="1">RANDBETWEEN(1,8)</f>
        <v>8</v>
      </c>
      <c r="BE60">
        <v>43</v>
      </c>
      <c r="BF60" t="s">
        <v>94</v>
      </c>
      <c r="BG60" t="s">
        <v>105</v>
      </c>
      <c r="BQ60">
        <v>55</v>
      </c>
      <c r="BR60" t="s">
        <v>147</v>
      </c>
      <c r="BW60">
        <v>55</v>
      </c>
      <c r="BX60" t="s">
        <v>147</v>
      </c>
      <c r="BY60">
        <v>55</v>
      </c>
      <c r="BZ60" t="s">
        <v>151</v>
      </c>
      <c r="CA60">
        <v>55</v>
      </c>
      <c r="CB60" t="s">
        <v>144</v>
      </c>
      <c r="CC60">
        <v>55</v>
      </c>
      <c r="CD60" t="s">
        <v>145</v>
      </c>
      <c r="CF60">
        <v>56</v>
      </c>
      <c r="CG60" t="s">
        <v>184</v>
      </c>
      <c r="CI60">
        <v>56</v>
      </c>
      <c r="CJ60" t="s">
        <v>218</v>
      </c>
      <c r="CL60">
        <v>56</v>
      </c>
      <c r="CM60" t="s">
        <v>252</v>
      </c>
      <c r="CO60">
        <v>56</v>
      </c>
      <c r="CP60" t="s">
        <v>289</v>
      </c>
      <c r="CR60">
        <v>56</v>
      </c>
      <c r="CS60" t="s">
        <v>319</v>
      </c>
      <c r="CU60">
        <v>56</v>
      </c>
      <c r="CV60" t="s">
        <v>340</v>
      </c>
      <c r="CX60">
        <v>56</v>
      </c>
      <c r="CY60">
        <v>2</v>
      </c>
      <c r="DA60">
        <v>56</v>
      </c>
      <c r="DB60">
        <v>2</v>
      </c>
      <c r="DD60">
        <v>56</v>
      </c>
      <c r="DE60">
        <v>3</v>
      </c>
      <c r="DG60">
        <v>56</v>
      </c>
      <c r="DH60" t="s">
        <v>398</v>
      </c>
      <c r="DK60">
        <v>56</v>
      </c>
      <c r="DL60" t="s">
        <v>502</v>
      </c>
    </row>
    <row r="61" spans="4:116" x14ac:dyDescent="0.3">
      <c r="D61" t="str">
        <f t="shared" ca="1" si="5"/>
        <v>Aquamarine</v>
      </c>
      <c r="E61" cm="1">
        <f t="array" aca="1" ref="E61" ca="1">_xlfn.IFS(D61="","",D61="Starstone", VLOOKUP($BK$4,$BK$6:$BM$11,3)*AI64*AJ64, D61 = "Tristal", VLOOKUP($BK$14,$BK$16:$BM$24,3)*AI64*AJ64, 1=1, VLOOKUP(AO64,$AX$75:$AZ$174,3)*AI64*AJ64)</f>
        <v>500</v>
      </c>
      <c r="F61" t="str" cm="1">
        <f t="array" aca="1" ref="F61" ca="1">IF(D61="","",_xlfn.IFS(AH64&gt;5,"Normal",AND(AH64&lt;=5,$BK$28&lt;=4),VLOOKUP(AF64,$BK$29:$BN$39,2),AND(AH64&lt;=5,$BK$28&gt;=9),VLOOKUP(AF64,$BK$29:$BN$39,2), 1=1, "Normal"))</f>
        <v>Normal</v>
      </c>
      <c r="G61" t="str" cm="1">
        <f t="array" aca="1" ref="G61" ca="1">IF(D61="","",_xlfn.IFS(AH64&gt;5, "Normal", AND(AH64&lt;=5, $BL$28&lt;=8, $BL$28&gt;=5), VLOOKUP(AG64,$BK$29:$BN$39,3), AND(AH64&lt;=5,$BK$28&gt;=9), VLOOKUP(AG64,$BK$29:$BN$39,3), 1=1, "Normal"))</f>
        <v>Normal</v>
      </c>
      <c r="H61" t="str">
        <f t="shared" ca="1" si="2"/>
        <v/>
      </c>
      <c r="I61" t="str">
        <f t="shared" ca="1" si="3"/>
        <v/>
      </c>
      <c r="K61" t="str" cm="1">
        <f t="array" aca="1" ref="K61" ca="1">IF(L61="","",(_xlfn.IFS(L61&gt;=15000,VLOOKUP(AW64,$BE$5:$BH$15,4),L61&gt;=4000,VLOOKUP(AW64,$BE$5:$BH$15,3),L61&gt;=100,VLOOKUP(AW64,$BE$5:$BH$15,2))))</f>
        <v/>
      </c>
      <c r="L61" t="str">
        <f t="shared" ca="1" si="4"/>
        <v/>
      </c>
      <c r="AF61" s="1">
        <f t="shared" ca="1" si="16"/>
        <v>3</v>
      </c>
      <c r="AG61" s="1">
        <f t="shared" ca="1" si="16"/>
        <v>2</v>
      </c>
      <c r="AH61" s="1">
        <f t="shared" ca="1" si="17"/>
        <v>12</v>
      </c>
      <c r="AI61" s="1">
        <f t="shared" ca="1" si="14"/>
        <v>1</v>
      </c>
      <c r="AJ61" s="1">
        <f t="shared" ca="1" si="15"/>
        <v>1</v>
      </c>
      <c r="AO61" s="1">
        <f t="shared" ca="1" si="18"/>
        <v>38</v>
      </c>
      <c r="AP61" s="1">
        <f t="shared" ca="1" si="19"/>
        <v>15</v>
      </c>
      <c r="AS61" s="1">
        <f t="shared" ca="1" si="20"/>
        <v>28</v>
      </c>
      <c r="AV61" s="1">
        <f t="shared" ca="1" si="21"/>
        <v>-42</v>
      </c>
      <c r="AW61" s="1">
        <f t="shared" ca="1" si="22"/>
        <v>2</v>
      </c>
      <c r="AX61" t="s">
        <v>11</v>
      </c>
      <c r="AY61">
        <f ca="1">RANDBETWEEN(1,10)</f>
        <v>2</v>
      </c>
      <c r="AZ61">
        <f ca="1">RANDBETWEEN(1,10)</f>
        <v>8</v>
      </c>
      <c r="BE61">
        <v>44</v>
      </c>
      <c r="BF61" t="s">
        <v>94</v>
      </c>
      <c r="BG61" t="s">
        <v>105</v>
      </c>
      <c r="BQ61">
        <v>56</v>
      </c>
      <c r="BR61" t="s">
        <v>147</v>
      </c>
      <c r="BW61">
        <v>56</v>
      </c>
      <c r="BX61" t="s">
        <v>147</v>
      </c>
      <c r="BY61">
        <v>56</v>
      </c>
      <c r="BZ61" t="s">
        <v>151</v>
      </c>
      <c r="CA61">
        <v>56</v>
      </c>
      <c r="CB61" t="s">
        <v>144</v>
      </c>
      <c r="CC61">
        <v>56</v>
      </c>
      <c r="CD61" t="s">
        <v>145</v>
      </c>
      <c r="CF61">
        <v>57</v>
      </c>
      <c r="CG61" t="s">
        <v>184</v>
      </c>
      <c r="CI61">
        <v>57</v>
      </c>
      <c r="CJ61" t="s">
        <v>219</v>
      </c>
      <c r="CL61">
        <v>57</v>
      </c>
      <c r="CM61" t="s">
        <v>252</v>
      </c>
      <c r="CO61">
        <v>57</v>
      </c>
      <c r="CP61" t="s">
        <v>290</v>
      </c>
      <c r="CR61">
        <v>57</v>
      </c>
      <c r="CS61" t="s">
        <v>320</v>
      </c>
      <c r="CU61">
        <v>57</v>
      </c>
      <c r="CV61" t="s">
        <v>340</v>
      </c>
      <c r="CX61">
        <v>57</v>
      </c>
      <c r="CY61">
        <v>2</v>
      </c>
      <c r="DA61">
        <v>57</v>
      </c>
      <c r="DB61">
        <v>2</v>
      </c>
      <c r="DD61">
        <v>57</v>
      </c>
      <c r="DE61">
        <v>3</v>
      </c>
      <c r="DG61">
        <v>57</v>
      </c>
      <c r="DH61" t="s">
        <v>399</v>
      </c>
    </row>
    <row r="62" spans="4:116" x14ac:dyDescent="0.3">
      <c r="D62" t="str">
        <f t="shared" ca="1" si="5"/>
        <v>Topaz</v>
      </c>
      <c r="E62" cm="1">
        <f t="array" aca="1" ref="E62" ca="1">_xlfn.IFS(D62="","",D62="Starstone", VLOOKUP($BK$4,$BK$6:$BM$11,3)*AI65*AJ65, D62 = "Tristal", VLOOKUP($BK$14,$BK$16:$BM$24,3)*AI65*AJ65, 1=1, VLOOKUP(AO65,$AX$75:$AZ$174,3)*AI65*AJ65)</f>
        <v>500</v>
      </c>
      <c r="F62" t="str" cm="1">
        <f t="array" aca="1" ref="F62" ca="1">IF(D62="","",_xlfn.IFS(AH65&gt;5,"Normal",AND(AH65&lt;=5,$BK$28&lt;=4),VLOOKUP(AF65,$BK$29:$BN$39,2),AND(AH65&lt;=5,$BK$28&gt;=9),VLOOKUP(AF65,$BK$29:$BN$39,2), 1=1, "Normal"))</f>
        <v>Normal</v>
      </c>
      <c r="G62" t="str" cm="1">
        <f t="array" aca="1" ref="G62" ca="1">IF(D62="","",_xlfn.IFS(AH65&gt;5, "Normal", AND(AH65&lt;=5, $BL$28&lt;=8, $BL$28&gt;=5), VLOOKUP(AG65,$BK$29:$BN$39,3), AND(AH65&lt;=5,$BK$28&gt;=9), VLOOKUP(AG65,$BK$29:$BN$39,3), 1=1, "Normal"))</f>
        <v>Normal</v>
      </c>
      <c r="H62" t="str">
        <f t="shared" ca="1" si="2"/>
        <v/>
      </c>
      <c r="I62" t="str">
        <f t="shared" ca="1" si="3"/>
        <v/>
      </c>
      <c r="K62" t="str" cm="1">
        <f t="array" aca="1" ref="K62" ca="1">IF(L62="","",(_xlfn.IFS(L62&gt;=15000,VLOOKUP(AW65,$BE$5:$BH$15,4),L62&gt;=4000,VLOOKUP(AW65,$BE$5:$BH$15,3),L62&gt;=100,VLOOKUP(AW65,$BE$5:$BH$15,2))))</f>
        <v/>
      </c>
      <c r="L62" t="str">
        <f t="shared" ca="1" si="4"/>
        <v/>
      </c>
      <c r="AF62" s="1">
        <f t="shared" ca="1" si="16"/>
        <v>2</v>
      </c>
      <c r="AG62" s="1">
        <f t="shared" ca="1" si="16"/>
        <v>2</v>
      </c>
      <c r="AH62" s="1">
        <f t="shared" ca="1" si="17"/>
        <v>36</v>
      </c>
      <c r="AI62" s="1">
        <f t="shared" ca="1" si="14"/>
        <v>1</v>
      </c>
      <c r="AJ62" s="1">
        <f t="shared" ca="1" si="15"/>
        <v>1</v>
      </c>
      <c r="AO62" s="1">
        <f t="shared" ca="1" si="18"/>
        <v>14</v>
      </c>
      <c r="AP62" s="1">
        <f t="shared" ca="1" si="19"/>
        <v>14</v>
      </c>
      <c r="AS62" s="1">
        <f t="shared" ca="1" si="20"/>
        <v>38</v>
      </c>
      <c r="AV62" s="1">
        <f t="shared" ca="1" si="21"/>
        <v>-43</v>
      </c>
      <c r="AW62" s="1">
        <f t="shared" ca="1" si="22"/>
        <v>5</v>
      </c>
      <c r="AX62" t="s">
        <v>12</v>
      </c>
      <c r="AY62">
        <f ca="1">RANDBETWEEN(1,12)+RANDBETWEEN(1,12)</f>
        <v>14</v>
      </c>
      <c r="AZ62">
        <f ca="1">RANDBETWEEN(1,12)</f>
        <v>6</v>
      </c>
      <c r="BE62">
        <v>45</v>
      </c>
      <c r="BF62" t="s">
        <v>94</v>
      </c>
      <c r="BG62" t="s">
        <v>105</v>
      </c>
      <c r="BQ62">
        <v>57</v>
      </c>
      <c r="BR62" t="s">
        <v>147</v>
      </c>
      <c r="BW62">
        <v>57</v>
      </c>
      <c r="BX62" t="s">
        <v>147</v>
      </c>
      <c r="BY62">
        <v>57</v>
      </c>
      <c r="BZ62" t="s">
        <v>151</v>
      </c>
      <c r="CA62">
        <v>57</v>
      </c>
      <c r="CB62" t="s">
        <v>144</v>
      </c>
      <c r="CC62">
        <v>57</v>
      </c>
      <c r="CD62" t="s">
        <v>145</v>
      </c>
      <c r="CF62">
        <v>58</v>
      </c>
      <c r="CG62" t="s">
        <v>185</v>
      </c>
      <c r="CI62">
        <v>58</v>
      </c>
      <c r="CJ62" t="s">
        <v>219</v>
      </c>
      <c r="CL62">
        <v>58</v>
      </c>
      <c r="CM62" t="s">
        <v>252</v>
      </c>
      <c r="CO62">
        <v>58</v>
      </c>
      <c r="CP62" t="s">
        <v>290</v>
      </c>
      <c r="CR62">
        <v>58</v>
      </c>
      <c r="CS62" t="s">
        <v>320</v>
      </c>
      <c r="CU62">
        <v>58</v>
      </c>
      <c r="CV62" t="s">
        <v>340</v>
      </c>
      <c r="CX62">
        <v>58</v>
      </c>
      <c r="CY62">
        <v>2</v>
      </c>
      <c r="DA62">
        <v>58</v>
      </c>
      <c r="DB62">
        <v>2</v>
      </c>
      <c r="DD62">
        <v>58</v>
      </c>
      <c r="DE62">
        <v>3</v>
      </c>
      <c r="DG62">
        <v>58</v>
      </c>
      <c r="DH62" t="s">
        <v>400</v>
      </c>
    </row>
    <row r="63" spans="4:116" x14ac:dyDescent="0.3">
      <c r="D63" t="str">
        <f t="shared" ca="1" si="5"/>
        <v>Sapphire</v>
      </c>
      <c r="E63" cm="1">
        <f t="array" aca="1" ref="E63" ca="1">_xlfn.IFS(D63="","",D63="Starstone", VLOOKUP($BK$4,$BK$6:$BM$11,3)*AI66*AJ66, D63 = "Tristal", VLOOKUP($BK$14,$BK$16:$BM$24,3)*AI66*AJ66, 1=1, VLOOKUP(AO66,$AX$75:$AZ$174,3)*AI66*AJ66)</f>
        <v>5000</v>
      </c>
      <c r="F63" t="str" cm="1">
        <f t="array" aca="1" ref="F63" ca="1">IF(D63="","",_xlfn.IFS(AH66&gt;5,"Normal",AND(AH66&lt;=5,$BK$28&lt;=4),VLOOKUP(AF66,$BK$29:$BN$39,2),AND(AH66&lt;=5,$BK$28&gt;=9),VLOOKUP(AF66,$BK$29:$BN$39,2), 1=1, "Normal"))</f>
        <v>Normal</v>
      </c>
      <c r="G63" t="str" cm="1">
        <f t="array" aca="1" ref="G63" ca="1">IF(D63="","",_xlfn.IFS(AH66&gt;5, "Normal", AND(AH66&lt;=5, $BL$28&lt;=8, $BL$28&gt;=5), VLOOKUP(AG66,$BK$29:$BN$39,3), AND(AH66&lt;=5,$BK$28&gt;=9), VLOOKUP(AG66,$BK$29:$BN$39,3), 1=1, "Normal"))</f>
        <v>Normal</v>
      </c>
      <c r="H63" t="str">
        <f t="shared" ca="1" si="2"/>
        <v/>
      </c>
      <c r="I63" t="str">
        <f t="shared" ca="1" si="3"/>
        <v/>
      </c>
      <c r="K63" t="str" cm="1">
        <f t="array" aca="1" ref="K63" ca="1">IF(L63="","",(_xlfn.IFS(L63&gt;=15000,VLOOKUP(AW66,$BE$5:$BH$15,4),L63&gt;=4000,VLOOKUP(AW66,$BE$5:$BH$15,3),L63&gt;=100,VLOOKUP(AW66,$BE$5:$BH$15,2))))</f>
        <v/>
      </c>
      <c r="L63" t="str">
        <f t="shared" ca="1" si="4"/>
        <v/>
      </c>
      <c r="AF63" s="1">
        <f t="shared" ca="1" si="16"/>
        <v>4</v>
      </c>
      <c r="AG63" s="1">
        <f t="shared" ca="1" si="16"/>
        <v>8</v>
      </c>
      <c r="AH63" s="1">
        <f t="shared" ca="1" si="17"/>
        <v>69</v>
      </c>
      <c r="AI63" s="1">
        <f t="shared" ca="1" si="14"/>
        <v>1</v>
      </c>
      <c r="AJ63" s="1">
        <f t="shared" ca="1" si="15"/>
        <v>1</v>
      </c>
      <c r="AO63" s="1">
        <f t="shared" ca="1" si="18"/>
        <v>92</v>
      </c>
      <c r="AP63" s="1">
        <f t="shared" ca="1" si="19"/>
        <v>13</v>
      </c>
      <c r="AS63" s="1">
        <f t="shared" ca="1" si="20"/>
        <v>30</v>
      </c>
      <c r="AV63" s="1">
        <f t="shared" ca="1" si="21"/>
        <v>-44</v>
      </c>
      <c r="AW63" s="1">
        <f t="shared" ca="1" si="22"/>
        <v>3</v>
      </c>
      <c r="AX63" t="s">
        <v>13</v>
      </c>
      <c r="AY63">
        <f ca="1">RANDBETWEEN(1,6)+RANDBETWEEN(1,6)+RANDBETWEEN(1,6)</f>
        <v>14</v>
      </c>
      <c r="AZ63">
        <f ca="1">RANDBETWEEN(1,10)</f>
        <v>10</v>
      </c>
      <c r="BE63">
        <v>46</v>
      </c>
      <c r="BF63" t="s">
        <v>94</v>
      </c>
      <c r="BG63" t="s">
        <v>105</v>
      </c>
      <c r="BQ63">
        <v>58</v>
      </c>
      <c r="BR63" t="s">
        <v>147</v>
      </c>
      <c r="BW63">
        <v>58</v>
      </c>
      <c r="BX63" t="s">
        <v>147</v>
      </c>
      <c r="BY63">
        <v>58</v>
      </c>
      <c r="BZ63" t="s">
        <v>151</v>
      </c>
      <c r="CA63">
        <v>58</v>
      </c>
      <c r="CB63" t="s">
        <v>144</v>
      </c>
      <c r="CC63">
        <v>58</v>
      </c>
      <c r="CD63" t="s">
        <v>145</v>
      </c>
      <c r="CF63">
        <v>59</v>
      </c>
      <c r="CG63" t="s">
        <v>185</v>
      </c>
      <c r="CI63">
        <v>59</v>
      </c>
      <c r="CJ63" t="s">
        <v>219</v>
      </c>
      <c r="CL63">
        <v>59</v>
      </c>
      <c r="CM63" t="s">
        <v>252</v>
      </c>
      <c r="CO63">
        <v>59</v>
      </c>
      <c r="CP63" t="s">
        <v>290</v>
      </c>
      <c r="CR63">
        <v>59</v>
      </c>
      <c r="CS63" t="s">
        <v>320</v>
      </c>
      <c r="CU63">
        <v>59</v>
      </c>
      <c r="CV63" t="s">
        <v>340</v>
      </c>
      <c r="CX63">
        <v>59</v>
      </c>
      <c r="CY63">
        <v>2</v>
      </c>
      <c r="DA63">
        <v>59</v>
      </c>
      <c r="DB63">
        <v>3</v>
      </c>
      <c r="DD63">
        <v>59</v>
      </c>
      <c r="DE63">
        <v>3</v>
      </c>
      <c r="DG63">
        <v>59</v>
      </c>
      <c r="DH63" t="s">
        <v>401</v>
      </c>
    </row>
    <row r="64" spans="4:116" x14ac:dyDescent="0.3">
      <c r="D64" t="str">
        <f t="shared" ca="1" si="5"/>
        <v>Opal</v>
      </c>
      <c r="E64" cm="1">
        <f t="array" aca="1" ref="E64" ca="1">_xlfn.IFS(D64="","",D64="Starstone", VLOOKUP($BK$4,$BK$6:$BM$11,3)*AI67*AJ67, D64 = "Tristal", VLOOKUP($BK$14,$BK$16:$BM$24,3)*AI67*AJ67, 1=1, VLOOKUP(AO67,$AX$75:$AZ$174,3)*AI67*AJ67)</f>
        <v>1000</v>
      </c>
      <c r="F64" t="str" cm="1">
        <f t="array" aca="1" ref="F64" ca="1">IF(D64="","",_xlfn.IFS(AH67&gt;5,"Normal",AND(AH67&lt;=5,$BK$28&lt;=4),VLOOKUP(AF67,$BK$29:$BN$39,2),AND(AH67&lt;=5,$BK$28&gt;=9),VLOOKUP(AF67,$BK$29:$BN$39,2), 1=1, "Normal"))</f>
        <v>Normal</v>
      </c>
      <c r="G64" t="str" cm="1">
        <f t="array" aca="1" ref="G64" ca="1">IF(D64="","",_xlfn.IFS(AH67&gt;5, "Normal", AND(AH67&lt;=5, $BL$28&lt;=8, $BL$28&gt;=5), VLOOKUP(AG67,$BK$29:$BN$39,3), AND(AH67&lt;=5,$BK$28&gt;=9), VLOOKUP(AG67,$BK$29:$BN$39,3), 1=1, "Normal"))</f>
        <v>Normal</v>
      </c>
      <c r="H64" t="str">
        <f t="shared" ca="1" si="2"/>
        <v/>
      </c>
      <c r="I64" t="str">
        <f t="shared" ca="1" si="3"/>
        <v/>
      </c>
      <c r="K64" t="str" cm="1">
        <f t="array" aca="1" ref="K64" ca="1">IF(L64="","",(_xlfn.IFS(L64&gt;=15000,VLOOKUP(AW67,$BE$5:$BH$15,4),L64&gt;=4000,VLOOKUP(AW67,$BE$5:$BH$15,3),L64&gt;=100,VLOOKUP(AW67,$BE$5:$BH$15,2))))</f>
        <v/>
      </c>
      <c r="L64" t="str">
        <f t="shared" ca="1" si="4"/>
        <v/>
      </c>
      <c r="AF64" s="1">
        <f t="shared" ca="1" si="16"/>
        <v>9</v>
      </c>
      <c r="AG64" s="1">
        <f t="shared" ca="1" si="16"/>
        <v>4</v>
      </c>
      <c r="AH64" s="1">
        <f t="shared" ca="1" si="17"/>
        <v>21</v>
      </c>
      <c r="AI64" s="1">
        <f t="shared" ca="1" si="14"/>
        <v>1</v>
      </c>
      <c r="AJ64" s="1">
        <f t="shared" ca="1" si="15"/>
        <v>1</v>
      </c>
      <c r="AO64" s="1">
        <f t="shared" ca="1" si="18"/>
        <v>44</v>
      </c>
      <c r="AP64" s="1">
        <f t="shared" ca="1" si="19"/>
        <v>12</v>
      </c>
      <c r="AS64" s="1">
        <f t="shared" ca="1" si="20"/>
        <v>26</v>
      </c>
      <c r="AV64" s="1">
        <f t="shared" ca="1" si="21"/>
        <v>-45</v>
      </c>
      <c r="AW64" s="1">
        <f t="shared" ca="1" si="22"/>
        <v>8</v>
      </c>
      <c r="AX64" t="s">
        <v>14</v>
      </c>
      <c r="AY64">
        <f ca="1">RANDBETWEEN(1,100)</f>
        <v>67</v>
      </c>
      <c r="AZ64">
        <f ca="1">RANDBETWEEN(1,4)*10</f>
        <v>10</v>
      </c>
      <c r="BE64">
        <v>47</v>
      </c>
      <c r="BF64" t="s">
        <v>94</v>
      </c>
      <c r="BG64" t="s">
        <v>105</v>
      </c>
      <c r="BQ64">
        <v>59</v>
      </c>
      <c r="BR64" t="s">
        <v>147</v>
      </c>
      <c r="BW64">
        <v>59</v>
      </c>
      <c r="BX64" t="s">
        <v>147</v>
      </c>
      <c r="BY64">
        <v>59</v>
      </c>
      <c r="BZ64" t="s">
        <v>151</v>
      </c>
      <c r="CA64">
        <v>59</v>
      </c>
      <c r="CB64" t="s">
        <v>144</v>
      </c>
      <c r="CC64">
        <v>59</v>
      </c>
      <c r="CD64" t="s">
        <v>145</v>
      </c>
      <c r="CF64">
        <v>60</v>
      </c>
      <c r="CG64" t="s">
        <v>185</v>
      </c>
      <c r="CI64">
        <v>60</v>
      </c>
      <c r="CJ64" t="s">
        <v>220</v>
      </c>
      <c r="CL64">
        <v>60</v>
      </c>
      <c r="CM64" t="s">
        <v>252</v>
      </c>
      <c r="CO64">
        <v>60</v>
      </c>
      <c r="CP64" t="s">
        <v>291</v>
      </c>
      <c r="CR64">
        <v>60</v>
      </c>
      <c r="CS64" t="s">
        <v>320</v>
      </c>
      <c r="CU64">
        <v>60</v>
      </c>
      <c r="CV64" t="s">
        <v>340</v>
      </c>
      <c r="CX64">
        <v>60</v>
      </c>
      <c r="CY64">
        <v>2</v>
      </c>
      <c r="DA64">
        <v>60</v>
      </c>
      <c r="DB64">
        <v>3</v>
      </c>
      <c r="DD64">
        <v>60</v>
      </c>
      <c r="DE64">
        <v>3</v>
      </c>
      <c r="DG64">
        <v>60</v>
      </c>
      <c r="DH64" t="s">
        <v>402</v>
      </c>
    </row>
    <row r="65" spans="4:113" x14ac:dyDescent="0.3">
      <c r="D65" t="str">
        <f t="shared" ca="1" si="5"/>
        <v>Emerald</v>
      </c>
      <c r="E65" cm="1">
        <f t="array" aca="1" ref="E65" ca="1">_xlfn.IFS(D65="","",D65="Starstone", VLOOKUP($BK$4,$BK$6:$BM$11,3)*AI68*AJ68, D65 = "Tristal", VLOOKUP($BK$14,$BK$16:$BM$24,3)*AI68*AJ68, 1=1, VLOOKUP(AO68,$AX$75:$AZ$174,3)*AI68*AJ68)</f>
        <v>5000</v>
      </c>
      <c r="F65" t="str" cm="1">
        <f t="array" aca="1" ref="F65" ca="1">IF(D65="","",_xlfn.IFS(AH68&gt;5,"Normal",AND(AH68&lt;=5,$BK$28&lt;=4),VLOOKUP(AF68,$BK$29:$BN$39,2),AND(AH68&lt;=5,$BK$28&gt;=9),VLOOKUP(AF68,$BK$29:$BN$39,2), 1=1, "Normal"))</f>
        <v>Normal</v>
      </c>
      <c r="G65" t="str" cm="1">
        <f t="array" aca="1" ref="G65" ca="1">IF(D65="","",_xlfn.IFS(AH68&gt;5, "Normal", AND(AH68&lt;=5, $BL$28&lt;=8, $BL$28&gt;=5), VLOOKUP(AG68,$BK$29:$BN$39,3), AND(AH68&lt;=5,$BK$28&gt;=9), VLOOKUP(AG68,$BK$29:$BN$39,3), 1=1, "Normal"))</f>
        <v>Normal</v>
      </c>
      <c r="H65" t="str">
        <f t="shared" ca="1" si="2"/>
        <v/>
      </c>
      <c r="I65" t="str">
        <f t="shared" ca="1" si="3"/>
        <v/>
      </c>
      <c r="K65" t="str" cm="1">
        <f t="array" aca="1" ref="K65" ca="1">IF(L65="","",(_xlfn.IFS(L65&gt;=15000,VLOOKUP(AW68,$BE$5:$BH$15,4),L65&gt;=4000,VLOOKUP(AW68,$BE$5:$BH$15,3),L65&gt;=100,VLOOKUP(AW68,$BE$5:$BH$15,2))))</f>
        <v/>
      </c>
      <c r="L65" t="str">
        <f t="shared" ca="1" si="4"/>
        <v/>
      </c>
      <c r="AF65" s="1">
        <f t="shared" ca="1" si="16"/>
        <v>5</v>
      </c>
      <c r="AG65" s="1">
        <f t="shared" ca="1" si="16"/>
        <v>5</v>
      </c>
      <c r="AH65" s="1">
        <f t="shared" ca="1" si="17"/>
        <v>73</v>
      </c>
      <c r="AI65" s="1">
        <f t="shared" ca="1" si="14"/>
        <v>1</v>
      </c>
      <c r="AJ65" s="1">
        <f t="shared" ca="1" si="15"/>
        <v>1</v>
      </c>
      <c r="AO65" s="1">
        <f t="shared" ca="1" si="18"/>
        <v>40</v>
      </c>
      <c r="AP65" s="1">
        <f t="shared" ca="1" si="19"/>
        <v>11</v>
      </c>
      <c r="AS65" s="1">
        <f t="shared" ca="1" si="20"/>
        <v>77</v>
      </c>
      <c r="AV65" s="1">
        <f t="shared" ca="1" si="21"/>
        <v>-46</v>
      </c>
      <c r="AW65" s="1">
        <f t="shared" ca="1" si="22"/>
        <v>3</v>
      </c>
      <c r="AX65" t="s">
        <v>15</v>
      </c>
      <c r="AY65">
        <f ca="1">RANDBETWEEN(1,6)+RANDBETWEEN(1,6)</f>
        <v>4</v>
      </c>
      <c r="AZ65">
        <f ca="1">RANDBETWEEN(1,6)+RANDBETWEEN(1,6)</f>
        <v>7</v>
      </c>
      <c r="BE65">
        <v>48</v>
      </c>
      <c r="BF65" t="s">
        <v>94</v>
      </c>
      <c r="BG65" t="s">
        <v>105</v>
      </c>
      <c r="BQ65">
        <v>60</v>
      </c>
      <c r="BR65" t="s">
        <v>147</v>
      </c>
      <c r="BW65">
        <v>60</v>
      </c>
      <c r="BX65" t="s">
        <v>147</v>
      </c>
      <c r="BY65">
        <v>60</v>
      </c>
      <c r="BZ65" t="s">
        <v>151</v>
      </c>
      <c r="CA65">
        <v>60</v>
      </c>
      <c r="CB65" t="s">
        <v>144</v>
      </c>
      <c r="CC65">
        <v>60</v>
      </c>
      <c r="CD65" t="s">
        <v>145</v>
      </c>
      <c r="CF65">
        <v>61</v>
      </c>
      <c r="CG65" t="s">
        <v>186</v>
      </c>
      <c r="CI65">
        <v>61</v>
      </c>
      <c r="CJ65" t="s">
        <v>220</v>
      </c>
      <c r="CL65">
        <v>61</v>
      </c>
      <c r="CM65" t="s">
        <v>252</v>
      </c>
      <c r="CO65">
        <v>61</v>
      </c>
      <c r="CP65" t="s">
        <v>291</v>
      </c>
      <c r="CR65">
        <v>61</v>
      </c>
      <c r="CS65" t="s">
        <v>321</v>
      </c>
      <c r="CU65">
        <v>61</v>
      </c>
      <c r="CV65" t="s">
        <v>340</v>
      </c>
      <c r="CX65">
        <v>61</v>
      </c>
      <c r="CY65">
        <v>2</v>
      </c>
      <c r="DA65">
        <v>61</v>
      </c>
      <c r="DB65">
        <v>3</v>
      </c>
      <c r="DD65">
        <v>61</v>
      </c>
      <c r="DE65">
        <v>3</v>
      </c>
      <c r="DG65">
        <v>61</v>
      </c>
      <c r="DH65" t="s">
        <v>403</v>
      </c>
    </row>
    <row r="66" spans="4:113" x14ac:dyDescent="0.3">
      <c r="D66" t="str">
        <f t="shared" ca="1" si="5"/>
        <v>Sapphire</v>
      </c>
      <c r="E66" cm="1">
        <f t="array" aca="1" ref="E66" ca="1">_xlfn.IFS(D66="","",D66="Starstone", VLOOKUP($BK$4,$BK$6:$BM$11,3)*AI69*AJ69, D66 = "Tristal", VLOOKUP($BK$14,$BK$16:$BM$24,3)*AI69*AJ69, 1=1, VLOOKUP(AO69,$AX$75:$AZ$174,3)*AI69*AJ69)</f>
        <v>5000</v>
      </c>
      <c r="F66" t="str" cm="1">
        <f t="array" aca="1" ref="F66" ca="1">IF(D66="","",_xlfn.IFS(AH69&gt;5,"Normal",AND(AH69&lt;=5,$BK$28&lt;=4),VLOOKUP(AF69,$BK$29:$BN$39,2),AND(AH69&lt;=5,$BK$28&gt;=9),VLOOKUP(AF69,$BK$29:$BN$39,2), 1=1, "Normal"))</f>
        <v>Normal</v>
      </c>
      <c r="G66" t="str" cm="1">
        <f t="array" aca="1" ref="G66" ca="1">IF(D66="","",_xlfn.IFS(AH69&gt;5, "Normal", AND(AH69&lt;=5, $BL$28&lt;=8, $BL$28&gt;=5), VLOOKUP(AG69,$BK$29:$BN$39,3), AND(AH69&lt;=5,$BK$28&gt;=9), VLOOKUP(AG69,$BK$29:$BN$39,3), 1=1, "Normal"))</f>
        <v>Normal</v>
      </c>
      <c r="H66" t="str">
        <f t="shared" ca="1" si="2"/>
        <v/>
      </c>
      <c r="I66" t="str">
        <f t="shared" ca="1" si="3"/>
        <v/>
      </c>
      <c r="K66" t="str" cm="1">
        <f t="array" aca="1" ref="K66" ca="1">IF(L66="","",(_xlfn.IFS(L66&gt;=15000,VLOOKUP(AW69,$BE$5:$BH$15,4),L66&gt;=4000,VLOOKUP(AW69,$BE$5:$BH$15,3),L66&gt;=100,VLOOKUP(AW69,$BE$5:$BH$15,2))))</f>
        <v/>
      </c>
      <c r="L66" t="str">
        <f t="shared" ca="1" si="4"/>
        <v/>
      </c>
      <c r="AF66" s="1">
        <f t="shared" ca="1" si="16"/>
        <v>7</v>
      </c>
      <c r="AG66" s="1">
        <f t="shared" ca="1" si="16"/>
        <v>6</v>
      </c>
      <c r="AH66" s="1">
        <f t="shared" ca="1" si="17"/>
        <v>45</v>
      </c>
      <c r="AI66" s="1">
        <f t="shared" ca="1" si="14"/>
        <v>1</v>
      </c>
      <c r="AJ66" s="1">
        <f t="shared" ca="1" si="15"/>
        <v>1</v>
      </c>
      <c r="AO66" s="1">
        <f t="shared" ca="1" si="18"/>
        <v>83</v>
      </c>
      <c r="AP66" s="1">
        <f t="shared" ca="1" si="19"/>
        <v>10</v>
      </c>
      <c r="AS66" s="1">
        <f t="shared" ca="1" si="20"/>
        <v>80</v>
      </c>
      <c r="AV66" s="1">
        <f t="shared" ca="1" si="21"/>
        <v>-47</v>
      </c>
      <c r="AW66" s="1">
        <f t="shared" ca="1" si="22"/>
        <v>3</v>
      </c>
      <c r="AX66" t="s">
        <v>16</v>
      </c>
      <c r="AY66">
        <v>0</v>
      </c>
      <c r="AZ66">
        <v>0</v>
      </c>
      <c r="BE66">
        <v>49</v>
      </c>
      <c r="BF66" t="s">
        <v>95</v>
      </c>
      <c r="BG66" t="s">
        <v>105</v>
      </c>
      <c r="BQ66">
        <v>61</v>
      </c>
      <c r="BR66" t="s">
        <v>147</v>
      </c>
      <c r="BW66">
        <v>61</v>
      </c>
      <c r="BX66" t="s">
        <v>147</v>
      </c>
      <c r="BY66">
        <v>61</v>
      </c>
      <c r="BZ66" t="s">
        <v>151</v>
      </c>
      <c r="CA66">
        <v>61</v>
      </c>
      <c r="CB66" t="s">
        <v>144</v>
      </c>
      <c r="CC66">
        <v>61</v>
      </c>
      <c r="CD66" t="s">
        <v>145</v>
      </c>
      <c r="CF66">
        <v>62</v>
      </c>
      <c r="CG66" t="s">
        <v>187</v>
      </c>
      <c r="CI66">
        <v>62</v>
      </c>
      <c r="CJ66" t="s">
        <v>221</v>
      </c>
      <c r="CL66">
        <v>62</v>
      </c>
      <c r="CM66" t="s">
        <v>253</v>
      </c>
      <c r="CO66">
        <v>62</v>
      </c>
      <c r="CP66" t="s">
        <v>292</v>
      </c>
      <c r="CR66">
        <v>62</v>
      </c>
      <c r="CS66" t="s">
        <v>322</v>
      </c>
      <c r="CU66">
        <v>62</v>
      </c>
      <c r="CV66" t="s">
        <v>340</v>
      </c>
      <c r="CX66">
        <v>62</v>
      </c>
      <c r="CY66">
        <v>2</v>
      </c>
      <c r="DA66">
        <v>62</v>
      </c>
      <c r="DB66">
        <v>3</v>
      </c>
      <c r="DD66">
        <v>62</v>
      </c>
      <c r="DE66">
        <v>3</v>
      </c>
      <c r="DG66">
        <v>62</v>
      </c>
      <c r="DH66" t="s">
        <v>226</v>
      </c>
    </row>
    <row r="67" spans="4:113" x14ac:dyDescent="0.3">
      <c r="D67" t="str">
        <f t="shared" ca="1" si="5"/>
        <v>Sapphire</v>
      </c>
      <c r="E67" cm="1">
        <f t="array" aca="1" ref="E67" ca="1">_xlfn.IFS(D67="","",D67="Starstone", VLOOKUP($BK$4,$BK$6:$BM$11,3)*AI70*AJ70, D67 = "Tristal", VLOOKUP($BK$14,$BK$16:$BM$24,3)*AI70*AJ70, 1=1, VLOOKUP(AO70,$AX$75:$AZ$174,3)*AI70*AJ70)</f>
        <v>5000</v>
      </c>
      <c r="F67" t="str" cm="1">
        <f t="array" aca="1" ref="F67" ca="1">IF(D67="","",_xlfn.IFS(AH70&gt;5,"Normal",AND(AH70&lt;=5,$BK$28&lt;=4),VLOOKUP(AF70,$BK$29:$BN$39,2),AND(AH70&lt;=5,$BK$28&gt;=9),VLOOKUP(AF70,$BK$29:$BN$39,2), 1=1, "Normal"))</f>
        <v>Normal</v>
      </c>
      <c r="G67" t="str" cm="1">
        <f t="array" aca="1" ref="G67" ca="1">IF(D67="","",_xlfn.IFS(AH70&gt;5, "Normal", AND(AH70&lt;=5, $BL$28&lt;=8, $BL$28&gt;=5), VLOOKUP(AG70,$BK$29:$BN$39,3), AND(AH70&lt;=5,$BK$28&gt;=9), VLOOKUP(AG70,$BK$29:$BN$39,3), 1=1, "Normal"))</f>
        <v>Normal</v>
      </c>
      <c r="H67" t="str">
        <f t="shared" ca="1" si="2"/>
        <v/>
      </c>
      <c r="I67" t="str">
        <f t="shared" ca="1" si="3"/>
        <v/>
      </c>
      <c r="K67" t="str" cm="1">
        <f t="array" aca="1" ref="K67" ca="1">IF(L67="","",(_xlfn.IFS(L67&gt;=15000,VLOOKUP(AW70,$BE$5:$BH$15,4),L67&gt;=4000,VLOOKUP(AW70,$BE$5:$BH$15,3),L67&gt;=100,VLOOKUP(AW70,$BE$5:$BH$15,2))))</f>
        <v/>
      </c>
      <c r="L67" t="str">
        <f t="shared" ca="1" si="4"/>
        <v/>
      </c>
      <c r="AF67" s="1">
        <f t="shared" ca="1" si="16"/>
        <v>4</v>
      </c>
      <c r="AG67" s="1">
        <f t="shared" ca="1" si="16"/>
        <v>7</v>
      </c>
      <c r="AH67" s="1">
        <f t="shared" ca="1" si="17"/>
        <v>33</v>
      </c>
      <c r="AI67" s="1">
        <f t="shared" ca="1" si="14"/>
        <v>1</v>
      </c>
      <c r="AJ67" s="1">
        <f t="shared" ca="1" si="15"/>
        <v>1</v>
      </c>
      <c r="AO67" s="1">
        <f t="shared" ca="1" si="18"/>
        <v>62</v>
      </c>
      <c r="AP67" s="1">
        <f t="shared" ca="1" si="19"/>
        <v>9</v>
      </c>
      <c r="AS67" s="1">
        <f t="shared" ca="1" si="20"/>
        <v>83</v>
      </c>
      <c r="AV67" s="1">
        <f t="shared" ca="1" si="21"/>
        <v>-48</v>
      </c>
      <c r="AW67" s="1">
        <f t="shared" ca="1" si="22"/>
        <v>7</v>
      </c>
      <c r="AX67" t="s">
        <v>17</v>
      </c>
      <c r="AY67">
        <v>0</v>
      </c>
      <c r="AZ67">
        <v>0</v>
      </c>
      <c r="BE67">
        <v>50</v>
      </c>
      <c r="BF67" t="s">
        <v>95</v>
      </c>
      <c r="BG67" t="s">
        <v>105</v>
      </c>
      <c r="BQ67">
        <v>62</v>
      </c>
      <c r="BR67" t="s">
        <v>147</v>
      </c>
      <c r="BW67">
        <v>62</v>
      </c>
      <c r="BX67" t="s">
        <v>147</v>
      </c>
      <c r="BY67">
        <v>62</v>
      </c>
      <c r="BZ67" t="s">
        <v>151</v>
      </c>
      <c r="CA67">
        <v>62</v>
      </c>
      <c r="CB67" t="s">
        <v>144</v>
      </c>
      <c r="CC67">
        <v>62</v>
      </c>
      <c r="CD67" t="s">
        <v>145</v>
      </c>
      <c r="CF67">
        <v>63</v>
      </c>
      <c r="CG67" t="s">
        <v>187</v>
      </c>
      <c r="CI67">
        <v>63</v>
      </c>
      <c r="CJ67" t="s">
        <v>221</v>
      </c>
      <c r="CL67">
        <v>63</v>
      </c>
      <c r="CM67" t="s">
        <v>253</v>
      </c>
      <c r="CO67">
        <v>63</v>
      </c>
      <c r="CP67" t="s">
        <v>293</v>
      </c>
      <c r="CR67">
        <v>63</v>
      </c>
      <c r="CS67" t="s">
        <v>322</v>
      </c>
      <c r="CU67">
        <v>63</v>
      </c>
      <c r="CV67" t="s">
        <v>340</v>
      </c>
      <c r="CX67">
        <v>63</v>
      </c>
      <c r="CY67">
        <v>2</v>
      </c>
      <c r="DA67">
        <v>63</v>
      </c>
      <c r="DB67">
        <v>3</v>
      </c>
      <c r="DD67">
        <v>63</v>
      </c>
      <c r="DE67">
        <v>3</v>
      </c>
      <c r="DG67">
        <v>63</v>
      </c>
      <c r="DH67" t="s">
        <v>404</v>
      </c>
    </row>
    <row r="68" spans="4:113" x14ac:dyDescent="0.3">
      <c r="D68" t="str">
        <f t="shared" ca="1" si="5"/>
        <v>Amethyst</v>
      </c>
      <c r="E68" cm="1">
        <f t="array" aca="1" ref="E68" ca="1">_xlfn.IFS(D68="","",D68="Starstone", VLOOKUP($BK$4,$BK$6:$BM$11,3)*AI71*AJ71, D68 = "Tristal", VLOOKUP($BK$14,$BK$16:$BM$24,3)*AI71*AJ71, 1=1, VLOOKUP(AO71,$AX$75:$AZ$174,3)*AI71*AJ71)</f>
        <v>100</v>
      </c>
      <c r="F68" t="str" cm="1">
        <f t="array" aca="1" ref="F68" ca="1">IF(D68="","",_xlfn.IFS(AH71&gt;5,"Normal",AND(AH71&lt;=5,$BK$28&lt;=4),VLOOKUP(AF71,$BK$29:$BN$39,2),AND(AH71&lt;=5,$BK$28&gt;=9),VLOOKUP(AF71,$BK$29:$BN$39,2), 1=1, "Normal"))</f>
        <v>Normal</v>
      </c>
      <c r="G68" t="str" cm="1">
        <f t="array" aca="1" ref="G68" ca="1">IF(D68="","",_xlfn.IFS(AH71&gt;5, "Normal", AND(AH71&lt;=5, $BL$28&lt;=8, $BL$28&gt;=5), VLOOKUP(AG71,$BK$29:$BN$39,3), AND(AH71&lt;=5,$BK$28&gt;=9), VLOOKUP(AG71,$BK$29:$BN$39,3), 1=1, "Normal"))</f>
        <v>Normal</v>
      </c>
      <c r="H68" t="str">
        <f t="shared" ca="1" si="2"/>
        <v/>
      </c>
      <c r="I68" t="str">
        <f t="shared" ca="1" si="3"/>
        <v/>
      </c>
      <c r="K68" t="str" cm="1">
        <f t="array" aca="1" ref="K68" ca="1">IF(L68="","",(_xlfn.IFS(L68&gt;=15000,VLOOKUP(AW71,$BE$5:$BH$15,4),L68&gt;=4000,VLOOKUP(AW71,$BE$5:$BH$15,3),L68&gt;=100,VLOOKUP(AW71,$BE$5:$BH$15,2))))</f>
        <v/>
      </c>
      <c r="L68" t="str">
        <f t="shared" ca="1" si="4"/>
        <v/>
      </c>
      <c r="AF68" s="1">
        <f t="shared" ca="1" si="16"/>
        <v>10</v>
      </c>
      <c r="AG68" s="1">
        <f t="shared" ca="1" si="16"/>
        <v>7</v>
      </c>
      <c r="AH68" s="1">
        <f t="shared" ca="1" si="17"/>
        <v>44</v>
      </c>
      <c r="AI68" s="1">
        <f t="shared" ca="1" si="14"/>
        <v>1</v>
      </c>
      <c r="AJ68" s="1">
        <f t="shared" ca="1" si="15"/>
        <v>1</v>
      </c>
      <c r="AO68" s="1">
        <f t="shared" ca="1" si="18"/>
        <v>81</v>
      </c>
      <c r="AP68" s="1">
        <f t="shared" ca="1" si="19"/>
        <v>8</v>
      </c>
      <c r="AS68" s="1">
        <f t="shared" ca="1" si="20"/>
        <v>73</v>
      </c>
      <c r="AV68" s="1">
        <f t="shared" ca="1" si="21"/>
        <v>-49</v>
      </c>
      <c r="AW68" s="1">
        <f t="shared" ca="1" si="22"/>
        <v>10</v>
      </c>
      <c r="AX68" t="s">
        <v>19</v>
      </c>
      <c r="AY68">
        <f ca="1">RANDBETWEEN(1,4)</f>
        <v>4</v>
      </c>
      <c r="AZ68">
        <v>0</v>
      </c>
      <c r="BE68">
        <v>51</v>
      </c>
      <c r="BF68" t="s">
        <v>95</v>
      </c>
      <c r="BG68" t="s">
        <v>105</v>
      </c>
      <c r="BQ68">
        <v>63</v>
      </c>
      <c r="BR68" t="s">
        <v>148</v>
      </c>
      <c r="BW68">
        <v>63</v>
      </c>
      <c r="BX68" t="s">
        <v>144</v>
      </c>
      <c r="BY68">
        <v>63</v>
      </c>
      <c r="BZ68" t="s">
        <v>151</v>
      </c>
      <c r="CA68">
        <v>63</v>
      </c>
      <c r="CB68" t="s">
        <v>144</v>
      </c>
      <c r="CC68">
        <v>63</v>
      </c>
      <c r="CD68" t="s">
        <v>145</v>
      </c>
      <c r="CF68">
        <v>64</v>
      </c>
      <c r="CG68" t="s">
        <v>187</v>
      </c>
      <c r="CI68">
        <v>64</v>
      </c>
      <c r="CJ68" t="s">
        <v>221</v>
      </c>
      <c r="CL68">
        <v>64</v>
      </c>
      <c r="CM68" t="s">
        <v>254</v>
      </c>
      <c r="CO68">
        <v>64</v>
      </c>
      <c r="CP68" t="s">
        <v>294</v>
      </c>
      <c r="CR68">
        <v>64</v>
      </c>
      <c r="CS68" t="s">
        <v>323</v>
      </c>
      <c r="CU68">
        <v>64</v>
      </c>
      <c r="CV68" t="s">
        <v>340</v>
      </c>
      <c r="CX68">
        <v>64</v>
      </c>
      <c r="CY68">
        <v>2</v>
      </c>
      <c r="DA68">
        <v>64</v>
      </c>
      <c r="DB68">
        <v>3</v>
      </c>
      <c r="DD68">
        <v>64</v>
      </c>
      <c r="DE68">
        <v>3</v>
      </c>
      <c r="DG68">
        <v>64</v>
      </c>
      <c r="DH68" t="s">
        <v>405</v>
      </c>
    </row>
    <row r="69" spans="4:113" x14ac:dyDescent="0.3">
      <c r="D69" t="str">
        <f t="shared" ca="1" si="5"/>
        <v>Pearl</v>
      </c>
      <c r="E69" cm="1">
        <f t="array" aca="1" ref="E69" ca="1">_xlfn.IFS(D69="","",D69="Starstone", VLOOKUP($BK$4,$BK$6:$BM$11,3)*AI72*AJ72, D69 = "Tristal", VLOOKUP($BK$14,$BK$16:$BM$24,3)*AI72*AJ72, 1=1, VLOOKUP(AO72,$AX$75:$AZ$174,3)*AI72*AJ72)</f>
        <v>500</v>
      </c>
      <c r="F69" t="str" cm="1">
        <f t="array" aca="1" ref="F69" ca="1">IF(D69="","",_xlfn.IFS(AH72&gt;5,"Normal",AND(AH72&lt;=5,$BK$28&lt;=4),VLOOKUP(AF72,$BK$29:$BN$39,2),AND(AH72&lt;=5,$BK$28&gt;=9),VLOOKUP(AF72,$BK$29:$BN$39,2), 1=1, "Normal"))</f>
        <v>Normal</v>
      </c>
      <c r="G69" t="str" cm="1">
        <f t="array" aca="1" ref="G69" ca="1">IF(D69="","",_xlfn.IFS(AH72&gt;5, "Normal", AND(AH72&lt;=5, $BL$28&lt;=8, $BL$28&gt;=5), VLOOKUP(AG72,$BK$29:$BN$39,3), AND(AH72&lt;=5,$BK$28&gt;=9), VLOOKUP(AG72,$BK$29:$BN$39,3), 1=1, "Normal"))</f>
        <v>Normal</v>
      </c>
      <c r="H69" t="str">
        <f t="shared" ca="1" si="2"/>
        <v/>
      </c>
      <c r="I69" t="str">
        <f t="shared" ca="1" si="3"/>
        <v/>
      </c>
      <c r="K69" t="str" cm="1">
        <f t="array" aca="1" ref="K69" ca="1">IF(L69="","",(_xlfn.IFS(L69&gt;=15000,VLOOKUP(AW72,$BE$5:$BH$15,4),L69&gt;=4000,VLOOKUP(AW72,$BE$5:$BH$15,3),L69&gt;=100,VLOOKUP(AW72,$BE$5:$BH$15,2))))</f>
        <v/>
      </c>
      <c r="L69" t="str">
        <f t="shared" ca="1" si="4"/>
        <v/>
      </c>
      <c r="AF69" s="1">
        <f t="shared" ca="1" si="16"/>
        <v>3</v>
      </c>
      <c r="AG69" s="1">
        <f t="shared" ca="1" si="16"/>
        <v>1</v>
      </c>
      <c r="AH69" s="1">
        <f t="shared" ca="1" si="17"/>
        <v>19</v>
      </c>
      <c r="AI69" s="1">
        <f t="shared" ca="1" si="14"/>
        <v>1</v>
      </c>
      <c r="AJ69" s="1">
        <f t="shared" ca="1" si="15"/>
        <v>1</v>
      </c>
      <c r="AO69" s="1">
        <f t="shared" ca="1" si="18"/>
        <v>74</v>
      </c>
      <c r="AP69" s="1">
        <f t="shared" ca="1" si="19"/>
        <v>7</v>
      </c>
      <c r="AS69" s="1">
        <f t="shared" ca="1" si="20"/>
        <v>3</v>
      </c>
      <c r="AV69" s="1">
        <f t="shared" ca="1" si="21"/>
        <v>-50</v>
      </c>
      <c r="AW69" s="1">
        <f t="shared" ca="1" si="22"/>
        <v>5</v>
      </c>
      <c r="AX69" t="s">
        <v>18</v>
      </c>
      <c r="AY69">
        <f ca="1">RANDBETWEEN(1,4)+RANDBETWEEN(1,4)+RANDBETWEEN(1,4)+RANDBETWEEN(1,4)+RANDBETWEEN(1,4)</f>
        <v>10</v>
      </c>
      <c r="AZ69">
        <f ca="1">RANDBETWEEN(1,6)+RANDBETWEEN(1,6)</f>
        <v>8</v>
      </c>
      <c r="BE69">
        <v>52</v>
      </c>
      <c r="BF69" t="s">
        <v>95</v>
      </c>
      <c r="BG69" t="s">
        <v>105</v>
      </c>
      <c r="BQ69">
        <v>64</v>
      </c>
      <c r="BR69" t="s">
        <v>148</v>
      </c>
      <c r="BW69">
        <v>64</v>
      </c>
      <c r="BX69" t="s">
        <v>144</v>
      </c>
      <c r="BY69">
        <v>64</v>
      </c>
      <c r="BZ69" t="s">
        <v>151</v>
      </c>
      <c r="CA69">
        <v>64</v>
      </c>
      <c r="CB69" t="s">
        <v>144</v>
      </c>
      <c r="CC69">
        <v>64</v>
      </c>
      <c r="CD69" t="s">
        <v>145</v>
      </c>
      <c r="CF69">
        <v>65</v>
      </c>
      <c r="CG69" t="s">
        <v>188</v>
      </c>
      <c r="CI69">
        <v>65</v>
      </c>
      <c r="CJ69" t="s">
        <v>222</v>
      </c>
      <c r="CL69">
        <v>65</v>
      </c>
      <c r="CM69" t="s">
        <v>221</v>
      </c>
      <c r="CO69">
        <v>65</v>
      </c>
      <c r="CP69" t="s">
        <v>294</v>
      </c>
      <c r="CR69">
        <v>65</v>
      </c>
      <c r="CS69" t="s">
        <v>323</v>
      </c>
      <c r="CU69">
        <v>65</v>
      </c>
      <c r="CV69" t="s">
        <v>340</v>
      </c>
      <c r="CX69">
        <v>65</v>
      </c>
      <c r="CY69">
        <v>2</v>
      </c>
      <c r="DA69">
        <v>65</v>
      </c>
      <c r="DB69">
        <v>3</v>
      </c>
      <c r="DD69">
        <v>65</v>
      </c>
      <c r="DE69">
        <v>4</v>
      </c>
      <c r="DG69">
        <v>65</v>
      </c>
      <c r="DH69" t="s">
        <v>406</v>
      </c>
      <c r="DI69">
        <v>5</v>
      </c>
    </row>
    <row r="70" spans="4:113" x14ac:dyDescent="0.3">
      <c r="D70" t="str">
        <f t="shared" ca="1" si="5"/>
        <v>Coral</v>
      </c>
      <c r="E70" cm="1">
        <f t="array" aca="1" ref="E70" ca="1">_xlfn.IFS(D70="","",D70="Starstone", VLOOKUP($BK$4,$BK$6:$BM$11,3)*AI73*AJ73, D70 = "Tristal", VLOOKUP($BK$14,$BK$16:$BM$24,3)*AI73*AJ73, 1=1, VLOOKUP(AO73,$AX$75:$AZ$174,3)*AI73*AJ73)</f>
        <v>100</v>
      </c>
      <c r="F70" t="str" cm="1">
        <f t="array" aca="1" ref="F70" ca="1">IF(D70="","",_xlfn.IFS(AH73&gt;5,"Normal",AND(AH73&lt;=5,$BK$28&lt;=4),VLOOKUP(AF73,$BK$29:$BN$39,2),AND(AH73&lt;=5,$BK$28&gt;=9),VLOOKUP(AF73,$BK$29:$BN$39,2), 1=1, "Normal"))</f>
        <v>Normal</v>
      </c>
      <c r="G70" t="str" cm="1">
        <f t="array" aca="1" ref="G70" ca="1">IF(D70="","",_xlfn.IFS(AH73&gt;5, "Normal", AND(AH73&lt;=5, $BL$28&lt;=8, $BL$28&gt;=5), VLOOKUP(AG73,$BK$29:$BN$39,3), AND(AH73&lt;=5,$BK$28&gt;=9), VLOOKUP(AG73,$BK$29:$BN$39,3), 1=1, "Normal"))</f>
        <v>Normal</v>
      </c>
      <c r="H70" t="str">
        <f t="shared" ca="1" si="2"/>
        <v/>
      </c>
      <c r="I70" t="str">
        <f t="shared" ca="1" si="3"/>
        <v/>
      </c>
      <c r="K70" t="str" cm="1">
        <f t="array" aca="1" ref="K70" ca="1">IF(L70="","",(_xlfn.IFS(L70&gt;=15000,VLOOKUP(AW73,$BE$5:$BH$15,4),L70&gt;=4000,VLOOKUP(AW73,$BE$5:$BH$15,3),L70&gt;=100,VLOOKUP(AW73,$BE$5:$BH$15,2))))</f>
        <v/>
      </c>
      <c r="L70" t="str">
        <f t="shared" ca="1" si="4"/>
        <v/>
      </c>
      <c r="AF70" s="1">
        <f t="shared" ca="1" si="16"/>
        <v>4</v>
      </c>
      <c r="AG70" s="1">
        <f t="shared" ca="1" si="16"/>
        <v>6</v>
      </c>
      <c r="AH70" s="1">
        <f t="shared" ca="1" si="17"/>
        <v>70</v>
      </c>
      <c r="AI70" s="1">
        <f t="shared" ca="1" si="14"/>
        <v>1</v>
      </c>
      <c r="AJ70" s="1">
        <f t="shared" ca="1" si="15"/>
        <v>1</v>
      </c>
      <c r="AO70" s="1">
        <f t="shared" ca="1" si="18"/>
        <v>83</v>
      </c>
      <c r="AP70" s="1">
        <f t="shared" ca="1" si="19"/>
        <v>6</v>
      </c>
      <c r="AS70" s="1">
        <f t="shared" ca="1" si="20"/>
        <v>54</v>
      </c>
      <c r="AV70" s="1">
        <f t="shared" ca="1" si="21"/>
        <v>-51</v>
      </c>
      <c r="AW70" s="1">
        <f t="shared" ca="1" si="22"/>
        <v>1</v>
      </c>
      <c r="AX70" t="s">
        <v>20</v>
      </c>
      <c r="AY70">
        <v>0</v>
      </c>
      <c r="AZ70">
        <v>0</v>
      </c>
      <c r="BE70">
        <v>53</v>
      </c>
      <c r="BF70" t="s">
        <v>95</v>
      </c>
      <c r="BG70" t="s">
        <v>105</v>
      </c>
      <c r="BQ70">
        <v>65</v>
      </c>
      <c r="BR70" t="s">
        <v>148</v>
      </c>
      <c r="BW70">
        <v>65</v>
      </c>
      <c r="BX70" t="s">
        <v>144</v>
      </c>
      <c r="BY70">
        <v>65</v>
      </c>
      <c r="BZ70" t="s">
        <v>151</v>
      </c>
      <c r="CA70">
        <v>65</v>
      </c>
      <c r="CB70" t="s">
        <v>144</v>
      </c>
      <c r="CC70">
        <v>65</v>
      </c>
      <c r="CD70" t="s">
        <v>145</v>
      </c>
      <c r="CF70">
        <v>66</v>
      </c>
      <c r="CG70" t="s">
        <v>188</v>
      </c>
      <c r="CI70">
        <v>66</v>
      </c>
      <c r="CJ70" t="s">
        <v>222</v>
      </c>
      <c r="CL70">
        <v>66</v>
      </c>
      <c r="CM70" t="s">
        <v>221</v>
      </c>
      <c r="CO70">
        <v>66</v>
      </c>
      <c r="CP70" t="s">
        <v>294</v>
      </c>
      <c r="CR70">
        <v>66</v>
      </c>
      <c r="CS70" t="s">
        <v>323</v>
      </c>
      <c r="CU70">
        <v>66</v>
      </c>
      <c r="CV70" t="s">
        <v>340</v>
      </c>
      <c r="CX70">
        <v>66</v>
      </c>
      <c r="CY70">
        <v>2</v>
      </c>
      <c r="DA70">
        <v>66</v>
      </c>
      <c r="DB70">
        <v>3</v>
      </c>
      <c r="DD70">
        <v>66</v>
      </c>
      <c r="DE70">
        <v>4</v>
      </c>
      <c r="DG70">
        <v>66</v>
      </c>
      <c r="DH70" t="s">
        <v>407</v>
      </c>
      <c r="DI70">
        <v>6</v>
      </c>
    </row>
    <row r="71" spans="4:113" x14ac:dyDescent="0.3">
      <c r="D71" t="str">
        <f t="shared" ca="1" si="5"/>
        <v>Crystal</v>
      </c>
      <c r="E71" cm="1">
        <f t="array" aca="1" ref="E71" ca="1">_xlfn.IFS(D71="","",D71="Starstone", VLOOKUP($BK$4,$BK$6:$BM$11,3)*AI74*AJ74, D71 = "Tristal", VLOOKUP($BK$14,$BK$16:$BM$24,3)*AI74*AJ74, 1=1, VLOOKUP(AO74,$AX$75:$AZ$174,3)*AI74*AJ74)</f>
        <v>50</v>
      </c>
      <c r="F71" t="str" cm="1">
        <f t="array" aca="1" ref="F71" ca="1">IF(D71="","",_xlfn.IFS(AH74&gt;5,"Normal",AND(AH74&lt;=5,$BK$28&lt;=4),VLOOKUP(AF74,$BK$29:$BN$39,2),AND(AH74&lt;=5,$BK$28&gt;=9),VLOOKUP(AF74,$BK$29:$BN$39,2), 1=1, "Normal"))</f>
        <v>Normal</v>
      </c>
      <c r="G71" t="str" cm="1">
        <f t="array" aca="1" ref="G71" ca="1">IF(D71="","",_xlfn.IFS(AH74&gt;5, "Normal", AND(AH74&lt;=5, $BL$28&lt;=8, $BL$28&gt;=5), VLOOKUP(AG74,$BK$29:$BN$39,3), AND(AH74&lt;=5,$BK$28&gt;=9), VLOOKUP(AG74,$BK$29:$BN$39,3), 1=1, "Normal"))</f>
        <v>Normal</v>
      </c>
      <c r="H71" t="str">
        <f t="shared" ref="H71:H134" ca="1" si="28">IF(D71 = "Tristal", VLOOKUP($BK$14,$BK$16:$BM$24,2), "")</f>
        <v/>
      </c>
      <c r="I71" t="str">
        <f t="shared" ref="I71:I134" ca="1" si="29">IF(D71="Starstone", VLOOKUP($BK$4,$BK$6:$BM$11,2), "")</f>
        <v/>
      </c>
      <c r="K71" t="str" cm="1">
        <f t="array" aca="1" ref="K71" ca="1">IF(L71="","",(_xlfn.IFS(L71&gt;=15000,VLOOKUP(AW74,$BE$5:$BH$15,4),L71&gt;=4000,VLOOKUP(AW74,$BE$5:$BH$15,3),L71&gt;=100,VLOOKUP(AW74,$BE$5:$BH$15,2))))</f>
        <v/>
      </c>
      <c r="L71" t="str">
        <f t="shared" ref="L71:L134" ca="1" si="30">IF(AV73&gt;0,VLOOKUP(AS74,$AX$177:$AY$276,2),"")</f>
        <v/>
      </c>
      <c r="AF71" s="1">
        <f t="shared" ca="1" si="16"/>
        <v>9</v>
      </c>
      <c r="AG71" s="1">
        <f t="shared" ca="1" si="16"/>
        <v>2</v>
      </c>
      <c r="AH71" s="1">
        <f t="shared" ca="1" si="17"/>
        <v>35</v>
      </c>
      <c r="AI71" s="1">
        <f t="shared" ca="1" si="14"/>
        <v>1</v>
      </c>
      <c r="AJ71" s="1">
        <f t="shared" ca="1" si="15"/>
        <v>1</v>
      </c>
      <c r="AO71" s="1">
        <f t="shared" ca="1" si="18"/>
        <v>22</v>
      </c>
      <c r="AP71" s="1">
        <f t="shared" ca="1" si="19"/>
        <v>5</v>
      </c>
      <c r="AS71" s="1">
        <f t="shared" ca="1" si="20"/>
        <v>38</v>
      </c>
      <c r="AV71" s="1">
        <f t="shared" ca="1" si="21"/>
        <v>-52</v>
      </c>
      <c r="AW71" s="1">
        <f t="shared" ca="1" si="22"/>
        <v>9</v>
      </c>
      <c r="AX71" t="s">
        <v>21</v>
      </c>
      <c r="AY71">
        <v>0</v>
      </c>
      <c r="AZ71">
        <v>0</v>
      </c>
      <c r="BE71">
        <v>54</v>
      </c>
      <c r="BF71" t="s">
        <v>95</v>
      </c>
      <c r="BG71" t="s">
        <v>105</v>
      </c>
      <c r="BQ71">
        <v>66</v>
      </c>
      <c r="BR71" t="s">
        <v>148</v>
      </c>
      <c r="BW71">
        <v>66</v>
      </c>
      <c r="BX71" t="s">
        <v>144</v>
      </c>
      <c r="BY71">
        <v>66</v>
      </c>
      <c r="BZ71" t="s">
        <v>151</v>
      </c>
      <c r="CA71">
        <v>66</v>
      </c>
      <c r="CB71" t="s">
        <v>144</v>
      </c>
      <c r="CC71">
        <v>66</v>
      </c>
      <c r="CD71" t="s">
        <v>145</v>
      </c>
      <c r="CF71">
        <v>67</v>
      </c>
      <c r="CG71" t="s">
        <v>189</v>
      </c>
      <c r="CI71">
        <v>67</v>
      </c>
      <c r="CJ71" t="s">
        <v>222</v>
      </c>
      <c r="CL71">
        <v>67</v>
      </c>
      <c r="CM71" t="s">
        <v>255</v>
      </c>
      <c r="CO71">
        <v>67</v>
      </c>
      <c r="CP71" t="s">
        <v>295</v>
      </c>
      <c r="CR71">
        <v>67</v>
      </c>
      <c r="CS71" t="s">
        <v>324</v>
      </c>
      <c r="CU71">
        <v>67</v>
      </c>
      <c r="CV71" t="s">
        <v>340</v>
      </c>
      <c r="CX71">
        <v>67</v>
      </c>
      <c r="CY71">
        <v>2</v>
      </c>
      <c r="DA71">
        <v>67</v>
      </c>
      <c r="DB71">
        <v>3</v>
      </c>
      <c r="DD71">
        <v>67</v>
      </c>
      <c r="DE71">
        <v>4</v>
      </c>
      <c r="DG71">
        <v>67</v>
      </c>
      <c r="DH71" t="s">
        <v>408</v>
      </c>
    </row>
    <row r="72" spans="4:113" x14ac:dyDescent="0.3">
      <c r="D72" t="str">
        <f t="shared" ref="D72:D135" ca="1" si="31">IF(AP75&gt;-1,VLOOKUP(AO75,$AX$75:$AZ$174,2),"")</f>
        <v>Aquamarine</v>
      </c>
      <c r="E72" cm="1">
        <f t="array" aca="1" ref="E72" ca="1">_xlfn.IFS(D72="","",D72="Starstone", VLOOKUP($BK$4,$BK$6:$BM$11,3)*AI75*AJ75, D72 = "Tristal", VLOOKUP($BK$14,$BK$16:$BM$24,3)*AI75*AJ75, 1=1, VLOOKUP(AO75,$AX$75:$AZ$174,3)*AI75*AJ75)</f>
        <v>500</v>
      </c>
      <c r="F72" t="str" cm="1">
        <f t="array" aca="1" ref="F72" ca="1">IF(D72="","",_xlfn.IFS(AH75&gt;5,"Normal",AND(AH75&lt;=5,$BK$28&lt;=4),VLOOKUP(AF75,$BK$29:$BN$39,2),AND(AH75&lt;=5,$BK$28&gt;=9),VLOOKUP(AF75,$BK$29:$BN$39,2), 1=1, "Normal"))</f>
        <v>Normal</v>
      </c>
      <c r="G72" t="str" cm="1">
        <f t="array" aca="1" ref="G72" ca="1">IF(D72="","",_xlfn.IFS(AH75&gt;5, "Normal", AND(AH75&lt;=5, $BL$28&lt;=8, $BL$28&gt;=5), VLOOKUP(AG75,$BK$29:$BN$39,3), AND(AH75&lt;=5,$BK$28&gt;=9), VLOOKUP(AG75,$BK$29:$BN$39,3), 1=1, "Normal"))</f>
        <v>Normal</v>
      </c>
      <c r="H72" t="str">
        <f t="shared" ca="1" si="28"/>
        <v/>
      </c>
      <c r="I72" t="str">
        <f t="shared" ca="1" si="29"/>
        <v/>
      </c>
      <c r="K72" t="str" cm="1">
        <f t="array" aca="1" ref="K72" ca="1">IF(L72="","",(_xlfn.IFS(L72&gt;=15000,VLOOKUP(AW75,$BE$5:$BH$15,4),L72&gt;=4000,VLOOKUP(AW75,$BE$5:$BH$15,3),L72&gt;=100,VLOOKUP(AW75,$BE$5:$BH$15,2))))</f>
        <v/>
      </c>
      <c r="L72" t="str">
        <f t="shared" ca="1" si="30"/>
        <v/>
      </c>
      <c r="AF72" s="1">
        <f t="shared" ca="1" si="16"/>
        <v>5</v>
      </c>
      <c r="AG72" s="1">
        <f t="shared" ca="1" si="16"/>
        <v>1</v>
      </c>
      <c r="AH72" s="1">
        <f t="shared" ca="1" si="17"/>
        <v>79</v>
      </c>
      <c r="AI72" s="1">
        <f t="shared" ca="1" si="14"/>
        <v>1</v>
      </c>
      <c r="AJ72" s="1">
        <f t="shared" ca="1" si="15"/>
        <v>1</v>
      </c>
      <c r="AO72" s="1">
        <f t="shared" ca="1" si="18"/>
        <v>42</v>
      </c>
      <c r="AP72" s="1">
        <f t="shared" ca="1" si="19"/>
        <v>4</v>
      </c>
      <c r="AS72" s="1">
        <f t="shared" ca="1" si="20"/>
        <v>38</v>
      </c>
      <c r="AV72" s="1">
        <f t="shared" ca="1" si="21"/>
        <v>-53</v>
      </c>
      <c r="AW72" s="1">
        <f t="shared" ca="1" si="22"/>
        <v>4</v>
      </c>
      <c r="BE72">
        <v>55</v>
      </c>
      <c r="BF72" t="s">
        <v>95</v>
      </c>
      <c r="BG72" t="s">
        <v>105</v>
      </c>
      <c r="BQ72">
        <v>67</v>
      </c>
      <c r="BR72" t="s">
        <v>148</v>
      </c>
      <c r="BW72">
        <v>67</v>
      </c>
      <c r="BX72" t="s">
        <v>144</v>
      </c>
      <c r="BY72">
        <v>67</v>
      </c>
      <c r="BZ72" t="s">
        <v>151</v>
      </c>
      <c r="CA72">
        <v>67</v>
      </c>
      <c r="CB72" t="s">
        <v>144</v>
      </c>
      <c r="CC72">
        <v>67</v>
      </c>
      <c r="CD72" t="s">
        <v>145</v>
      </c>
      <c r="CF72">
        <v>68</v>
      </c>
      <c r="CG72" t="s">
        <v>189</v>
      </c>
      <c r="CI72">
        <v>68</v>
      </c>
      <c r="CJ72" t="s">
        <v>223</v>
      </c>
      <c r="CL72">
        <v>68</v>
      </c>
      <c r="CM72" t="s">
        <v>255</v>
      </c>
      <c r="CO72">
        <v>68</v>
      </c>
      <c r="CP72" t="s">
        <v>295</v>
      </c>
      <c r="CR72">
        <v>68</v>
      </c>
      <c r="CS72" t="s">
        <v>324</v>
      </c>
      <c r="CU72">
        <v>68</v>
      </c>
      <c r="CV72" t="s">
        <v>340</v>
      </c>
      <c r="CX72">
        <v>68</v>
      </c>
      <c r="CY72">
        <v>2</v>
      </c>
      <c r="DA72">
        <v>68</v>
      </c>
      <c r="DB72">
        <v>3</v>
      </c>
      <c r="DD72">
        <v>68</v>
      </c>
      <c r="DE72">
        <v>4</v>
      </c>
      <c r="DG72">
        <v>68</v>
      </c>
      <c r="DH72" t="s">
        <v>409</v>
      </c>
    </row>
    <row r="73" spans="4:113" x14ac:dyDescent="0.3">
      <c r="D73" t="str">
        <f t="shared" ca="1" si="31"/>
        <v>Opal</v>
      </c>
      <c r="E73" cm="1">
        <f t="array" aca="1" ref="E73" ca="1">_xlfn.IFS(D73="","",D73="Starstone", VLOOKUP($BK$4,$BK$6:$BM$11,3)*AI76*AJ76, D73 = "Tristal", VLOOKUP($BK$14,$BK$16:$BM$24,3)*AI76*AJ76, 1=1, VLOOKUP(AO76,$AX$75:$AZ$174,3)*AI76*AJ76)</f>
        <v>1000</v>
      </c>
      <c r="F73" t="str" cm="1">
        <f t="array" aca="1" ref="F73" ca="1">IF(D73="","",_xlfn.IFS(AH76&gt;5,"Normal",AND(AH76&lt;=5,$BK$28&lt;=4),VLOOKUP(AF76,$BK$29:$BN$39,2),AND(AH76&lt;=5,$BK$28&gt;=9),VLOOKUP(AF76,$BK$29:$BN$39,2), 1=1, "Normal"))</f>
        <v>Normal</v>
      </c>
      <c r="G73" t="str" cm="1">
        <f t="array" aca="1" ref="G73" ca="1">IF(D73="","",_xlfn.IFS(AH76&gt;5, "Normal", AND(AH76&lt;=5, $BL$28&lt;=8, $BL$28&gt;=5), VLOOKUP(AG76,$BK$29:$BN$39,3), AND(AH76&lt;=5,$BK$28&gt;=9), VLOOKUP(AG76,$BK$29:$BN$39,3), 1=1, "Normal"))</f>
        <v>Normal</v>
      </c>
      <c r="H73" t="str">
        <f t="shared" ca="1" si="28"/>
        <v/>
      </c>
      <c r="I73" t="str">
        <f t="shared" ca="1" si="29"/>
        <v/>
      </c>
      <c r="K73" t="str" cm="1">
        <f t="array" aca="1" ref="K73" ca="1">IF(L73="","",(_xlfn.IFS(L73&gt;=15000,VLOOKUP(AW76,$BE$5:$BH$15,4),L73&gt;=4000,VLOOKUP(AW76,$BE$5:$BH$15,3),L73&gt;=100,VLOOKUP(AW76,$BE$5:$BH$15,2))))</f>
        <v/>
      </c>
      <c r="L73" t="str">
        <f t="shared" ca="1" si="30"/>
        <v/>
      </c>
      <c r="AF73" s="1">
        <f t="shared" ca="1" si="16"/>
        <v>5</v>
      </c>
      <c r="AG73" s="1">
        <f t="shared" ca="1" si="16"/>
        <v>10</v>
      </c>
      <c r="AH73" s="1">
        <f t="shared" ca="1" si="17"/>
        <v>83</v>
      </c>
      <c r="AI73" s="1">
        <f t="shared" ca="1" si="14"/>
        <v>1</v>
      </c>
      <c r="AJ73" s="1">
        <f t="shared" ca="1" si="15"/>
        <v>1</v>
      </c>
      <c r="AO73" s="1">
        <f t="shared" ca="1" si="18"/>
        <v>23</v>
      </c>
      <c r="AP73" s="1">
        <f t="shared" ca="1" si="19"/>
        <v>3</v>
      </c>
      <c r="AS73" s="1">
        <f t="shared" ca="1" si="20"/>
        <v>74</v>
      </c>
      <c r="AV73" s="1">
        <f t="shared" ca="1" si="21"/>
        <v>-54</v>
      </c>
      <c r="AW73" s="1">
        <f t="shared" ca="1" si="22"/>
        <v>1</v>
      </c>
      <c r="BE73">
        <v>56</v>
      </c>
      <c r="BF73" t="s">
        <v>96</v>
      </c>
      <c r="BG73" t="s">
        <v>106</v>
      </c>
      <c r="BQ73">
        <v>68</v>
      </c>
      <c r="BR73" t="s">
        <v>148</v>
      </c>
      <c r="BW73">
        <v>68</v>
      </c>
      <c r="BX73" t="s">
        <v>144</v>
      </c>
      <c r="BY73">
        <v>68</v>
      </c>
      <c r="BZ73" t="s">
        <v>148</v>
      </c>
      <c r="CA73">
        <v>68</v>
      </c>
      <c r="CB73" t="s">
        <v>144</v>
      </c>
      <c r="CC73">
        <v>68</v>
      </c>
      <c r="CD73" t="s">
        <v>145</v>
      </c>
      <c r="CF73">
        <v>69</v>
      </c>
      <c r="CG73" t="s">
        <v>190</v>
      </c>
      <c r="CI73">
        <v>69</v>
      </c>
      <c r="CJ73" t="s">
        <v>223</v>
      </c>
      <c r="CL73">
        <v>69</v>
      </c>
      <c r="CM73" t="s">
        <v>256</v>
      </c>
      <c r="CO73">
        <v>69</v>
      </c>
      <c r="CP73" t="s">
        <v>296</v>
      </c>
      <c r="CR73">
        <v>69</v>
      </c>
      <c r="CS73" t="s">
        <v>324</v>
      </c>
      <c r="CU73">
        <v>69</v>
      </c>
      <c r="CV73" t="s">
        <v>340</v>
      </c>
      <c r="CX73">
        <v>69</v>
      </c>
      <c r="CY73">
        <v>2</v>
      </c>
      <c r="DA73">
        <v>69</v>
      </c>
      <c r="DB73">
        <v>3</v>
      </c>
      <c r="DD73">
        <v>69</v>
      </c>
      <c r="DE73">
        <v>4</v>
      </c>
      <c r="DG73">
        <v>69</v>
      </c>
      <c r="DH73" t="s">
        <v>410</v>
      </c>
    </row>
    <row r="74" spans="4:113" x14ac:dyDescent="0.3">
      <c r="D74" t="str">
        <f t="shared" ca="1" si="31"/>
        <v/>
      </c>
      <c r="E74" t="str" cm="1">
        <f t="array" aca="1" ref="E74" ca="1">_xlfn.IFS(D74="","",D74="Starstone", VLOOKUP($BK$4,$BK$6:$BM$11,3)*AI77*AJ77, D74 = "Tristal", VLOOKUP($BK$14,$BK$16:$BM$24,3)*AI77*AJ77, 1=1, VLOOKUP(AO77,$AX$75:$AZ$174,3)*AI77*AJ77)</f>
        <v/>
      </c>
      <c r="F74" t="str" cm="1">
        <f t="array" aca="1" ref="F74" ca="1">IF(D74="","",_xlfn.IFS(AH77&gt;5,"Normal",AND(AH77&lt;=5,$BK$28&lt;=4),VLOOKUP(AF77,$BK$29:$BN$39,2),AND(AH77&lt;=5,$BK$28&gt;=9),VLOOKUP(AF77,$BK$29:$BN$39,2), 1=1, "Normal"))</f>
        <v/>
      </c>
      <c r="G74" t="str" cm="1">
        <f t="array" aca="1" ref="G74" ca="1">IF(D74="","",_xlfn.IFS(AH77&gt;5, "Normal", AND(AH77&lt;=5, $BL$28&lt;=8, $BL$28&gt;=5), VLOOKUP(AG77,$BK$29:$BN$39,3), AND(AH77&lt;=5,$BK$28&gt;=9), VLOOKUP(AG77,$BK$29:$BN$39,3), 1=1, "Normal"))</f>
        <v/>
      </c>
      <c r="H74" t="str">
        <f t="shared" ca="1" si="28"/>
        <v/>
      </c>
      <c r="I74" t="str">
        <f t="shared" ca="1" si="29"/>
        <v/>
      </c>
      <c r="K74" t="str" cm="1">
        <f t="array" aca="1" ref="K74" ca="1">IF(L74="","",(_xlfn.IFS(L74&gt;=15000,VLOOKUP(AW77,$BE$5:$BH$15,4),L74&gt;=4000,VLOOKUP(AW77,$BE$5:$BH$15,3),L74&gt;=100,VLOOKUP(AW77,$BE$5:$BH$15,2))))</f>
        <v/>
      </c>
      <c r="L74" t="str">
        <f t="shared" ca="1" si="30"/>
        <v/>
      </c>
      <c r="AF74" s="1">
        <f t="shared" ca="1" si="16"/>
        <v>4</v>
      </c>
      <c r="AG74" s="1">
        <f t="shared" ca="1" si="16"/>
        <v>4</v>
      </c>
      <c r="AH74" s="1">
        <f t="shared" ca="1" si="17"/>
        <v>86</v>
      </c>
      <c r="AI74" s="1">
        <f t="shared" ref="AI74:AI137" ca="1" si="32">IF(F71="Normal",1,VLOOKUP(AF74,$BK$29:$BN$39,4))</f>
        <v>1</v>
      </c>
      <c r="AJ74" s="1">
        <f t="shared" ref="AJ74:AJ137" ca="1" si="33">IF(G71="Normal",1,VLOOKUP(AG74,$BK$29:$BN$39,4))</f>
        <v>1</v>
      </c>
      <c r="AO74" s="1">
        <f t="shared" ca="1" si="18"/>
        <v>9</v>
      </c>
      <c r="AP74" s="1">
        <f t="shared" ca="1" si="19"/>
        <v>2</v>
      </c>
      <c r="AS74" s="1">
        <f t="shared" ca="1" si="20"/>
        <v>50</v>
      </c>
      <c r="AV74" s="1">
        <f t="shared" ca="1" si="21"/>
        <v>-55</v>
      </c>
      <c r="AW74" s="1">
        <f t="shared" ca="1" si="22"/>
        <v>4</v>
      </c>
      <c r="BE74">
        <v>57</v>
      </c>
      <c r="BF74" t="s">
        <v>96</v>
      </c>
      <c r="BG74" t="s">
        <v>106</v>
      </c>
      <c r="BQ74">
        <v>69</v>
      </c>
      <c r="BR74" t="s">
        <v>148</v>
      </c>
      <c r="BW74">
        <v>69</v>
      </c>
      <c r="BX74" t="s">
        <v>144</v>
      </c>
      <c r="BY74">
        <v>69</v>
      </c>
      <c r="BZ74" t="s">
        <v>148</v>
      </c>
      <c r="CA74">
        <v>69</v>
      </c>
      <c r="CB74" t="s">
        <v>144</v>
      </c>
      <c r="CC74">
        <v>69</v>
      </c>
      <c r="CD74" t="s">
        <v>145</v>
      </c>
      <c r="CF74">
        <v>70</v>
      </c>
      <c r="CG74" t="s">
        <v>190</v>
      </c>
      <c r="CI74">
        <v>70</v>
      </c>
      <c r="CJ74" t="s">
        <v>224</v>
      </c>
      <c r="CL74">
        <v>70</v>
      </c>
      <c r="CM74" t="s">
        <v>256</v>
      </c>
      <c r="CO74">
        <v>70</v>
      </c>
      <c r="CP74" t="s">
        <v>296</v>
      </c>
      <c r="CR74">
        <v>70</v>
      </c>
      <c r="CS74" t="s">
        <v>325</v>
      </c>
      <c r="CU74">
        <v>70</v>
      </c>
      <c r="CV74" t="s">
        <v>340</v>
      </c>
      <c r="CX74">
        <v>70</v>
      </c>
      <c r="CY74">
        <v>2</v>
      </c>
      <c r="DA74">
        <v>70</v>
      </c>
      <c r="DB74">
        <v>3</v>
      </c>
      <c r="DD74">
        <v>70</v>
      </c>
      <c r="DE74">
        <v>4</v>
      </c>
      <c r="DG74">
        <v>70</v>
      </c>
      <c r="DH74" t="s">
        <v>411</v>
      </c>
    </row>
    <row r="75" spans="4:113" x14ac:dyDescent="0.3">
      <c r="D75" t="str">
        <f t="shared" ca="1" si="31"/>
        <v/>
      </c>
      <c r="E75" t="str" cm="1">
        <f t="array" aca="1" ref="E75" ca="1">_xlfn.IFS(D75="","",D75="Starstone", VLOOKUP($BK$4,$BK$6:$BM$11,3)*AI78*AJ78, D75 = "Tristal", VLOOKUP($BK$14,$BK$16:$BM$24,3)*AI78*AJ78, 1=1, VLOOKUP(AO78,$AX$75:$AZ$174,3)*AI78*AJ78)</f>
        <v/>
      </c>
      <c r="F75" t="str" cm="1">
        <f t="array" aca="1" ref="F75" ca="1">IF(D75="","",_xlfn.IFS(AH78&gt;5,"Normal",AND(AH78&lt;=5,$BK$28&lt;=4),VLOOKUP(AF78,$BK$29:$BN$39,2),AND(AH78&lt;=5,$BK$28&gt;=9),VLOOKUP(AF78,$BK$29:$BN$39,2), 1=1, "Normal"))</f>
        <v/>
      </c>
      <c r="G75" t="str" cm="1">
        <f t="array" aca="1" ref="G75" ca="1">IF(D75="","",_xlfn.IFS(AH78&gt;5, "Normal", AND(AH78&lt;=5, $BL$28&lt;=8, $BL$28&gt;=5), VLOOKUP(AG78,$BK$29:$BN$39,3), AND(AH78&lt;=5,$BK$28&gt;=9), VLOOKUP(AG78,$BK$29:$BN$39,3), 1=1, "Normal"))</f>
        <v/>
      </c>
      <c r="H75" t="str">
        <f t="shared" ca="1" si="28"/>
        <v/>
      </c>
      <c r="I75" t="str">
        <f t="shared" ca="1" si="29"/>
        <v/>
      </c>
      <c r="K75" t="str" cm="1">
        <f t="array" aca="1" ref="K75" ca="1">IF(L75="","",(_xlfn.IFS(L75&gt;=15000,VLOOKUP(AW78,$BE$5:$BH$15,4),L75&gt;=4000,VLOOKUP(AW78,$BE$5:$BH$15,3),L75&gt;=100,VLOOKUP(AW78,$BE$5:$BH$15,2))))</f>
        <v/>
      </c>
      <c r="L75" t="str">
        <f t="shared" ca="1" si="30"/>
        <v/>
      </c>
      <c r="AF75" s="1">
        <f t="shared" ref="AF75:AG138" ca="1" si="34">RANDBETWEEN(1,10)</f>
        <v>9</v>
      </c>
      <c r="AG75" s="1">
        <f t="shared" ca="1" si="34"/>
        <v>6</v>
      </c>
      <c r="AH75" s="1">
        <f t="shared" ref="AH75:AH138" ca="1" si="35">RANDBETWEEN(1,100)</f>
        <v>32</v>
      </c>
      <c r="AI75" s="1">
        <f t="shared" ca="1" si="32"/>
        <v>1</v>
      </c>
      <c r="AJ75" s="1">
        <f t="shared" ca="1" si="33"/>
        <v>1</v>
      </c>
      <c r="AO75" s="1">
        <f t="shared" ref="AO75:AO138" ca="1" si="36">RANDBETWEEN(1,100)</f>
        <v>29</v>
      </c>
      <c r="AP75" s="1">
        <f t="shared" ref="AP75:AP138" ca="1" si="37">AP74-1</f>
        <v>1</v>
      </c>
      <c r="AS75" s="1">
        <f t="shared" ref="AS75:AS138" ca="1" si="38">RANDBETWEEN(1,100)</f>
        <v>66</v>
      </c>
      <c r="AV75" s="1">
        <f t="shared" ref="AV75:AV138" ca="1" si="39">AV74-1</f>
        <v>-56</v>
      </c>
      <c r="AW75" s="1">
        <f t="shared" ref="AW75:AW138" ca="1" si="40">RANDBETWEEN(1,10)</f>
        <v>6</v>
      </c>
      <c r="AX75">
        <v>1</v>
      </c>
      <c r="AY75" t="s">
        <v>26</v>
      </c>
      <c r="AZ75">
        <v>10</v>
      </c>
      <c r="BE75">
        <v>58</v>
      </c>
      <c r="BF75" t="s">
        <v>96</v>
      </c>
      <c r="BG75" t="s">
        <v>106</v>
      </c>
      <c r="BQ75">
        <v>70</v>
      </c>
      <c r="BR75" t="s">
        <v>148</v>
      </c>
      <c r="BW75">
        <v>70</v>
      </c>
      <c r="BX75" t="s">
        <v>144</v>
      </c>
      <c r="BY75">
        <v>70</v>
      </c>
      <c r="BZ75" t="s">
        <v>148</v>
      </c>
      <c r="CA75">
        <v>70</v>
      </c>
      <c r="CB75" t="s">
        <v>144</v>
      </c>
      <c r="CC75">
        <v>70</v>
      </c>
      <c r="CD75" t="s">
        <v>145</v>
      </c>
      <c r="CF75">
        <v>71</v>
      </c>
      <c r="CG75" t="s">
        <v>191</v>
      </c>
      <c r="CI75">
        <v>71</v>
      </c>
      <c r="CJ75" t="s">
        <v>224</v>
      </c>
      <c r="CL75">
        <v>71</v>
      </c>
      <c r="CM75" t="s">
        <v>256</v>
      </c>
      <c r="CO75">
        <v>71</v>
      </c>
      <c r="CP75" t="s">
        <v>296</v>
      </c>
      <c r="CR75">
        <v>71</v>
      </c>
      <c r="CS75" t="s">
        <v>325</v>
      </c>
      <c r="CU75">
        <v>71</v>
      </c>
      <c r="CV75" t="s">
        <v>341</v>
      </c>
      <c r="CX75">
        <v>71</v>
      </c>
      <c r="CY75">
        <v>2</v>
      </c>
      <c r="DA75">
        <v>71</v>
      </c>
      <c r="DB75">
        <v>3</v>
      </c>
      <c r="DD75">
        <v>71</v>
      </c>
      <c r="DE75">
        <v>4</v>
      </c>
      <c r="DG75">
        <v>71</v>
      </c>
      <c r="DH75" t="s">
        <v>412</v>
      </c>
    </row>
    <row r="76" spans="4:113" x14ac:dyDescent="0.3">
      <c r="D76" t="str">
        <f t="shared" ca="1" si="31"/>
        <v/>
      </c>
      <c r="E76" t="str" cm="1">
        <f t="array" aca="1" ref="E76" ca="1">_xlfn.IFS(D76="","",D76="Starstone", VLOOKUP($BK$4,$BK$6:$BM$11,3)*AI79*AJ79, D76 = "Tristal", VLOOKUP($BK$14,$BK$16:$BM$24,3)*AI79*AJ79, 1=1, VLOOKUP(AO79,$AX$75:$AZ$174,3)*AI79*AJ79)</f>
        <v/>
      </c>
      <c r="F76" t="str" cm="1">
        <f t="array" aca="1" ref="F76" ca="1">IF(D76="","",_xlfn.IFS(AH79&gt;5,"Normal",AND(AH79&lt;=5,$BK$28&lt;=4),VLOOKUP(AF79,$BK$29:$BN$39,2),AND(AH79&lt;=5,$BK$28&gt;=9),VLOOKUP(AF79,$BK$29:$BN$39,2), 1=1, "Normal"))</f>
        <v/>
      </c>
      <c r="G76" t="str" cm="1">
        <f t="array" aca="1" ref="G76" ca="1">IF(D76="","",_xlfn.IFS(AH79&gt;5, "Normal", AND(AH79&lt;=5, $BL$28&lt;=8, $BL$28&gt;=5), VLOOKUP(AG79,$BK$29:$BN$39,3), AND(AH79&lt;=5,$BK$28&gt;=9), VLOOKUP(AG79,$BK$29:$BN$39,3), 1=1, "Normal"))</f>
        <v/>
      </c>
      <c r="H76" t="str">
        <f t="shared" ca="1" si="28"/>
        <v/>
      </c>
      <c r="I76" t="str">
        <f t="shared" ca="1" si="29"/>
        <v/>
      </c>
      <c r="K76" t="str" cm="1">
        <f t="array" aca="1" ref="K76" ca="1">IF(L76="","",(_xlfn.IFS(L76&gt;=15000,VLOOKUP(AW79,$BE$5:$BH$15,4),L76&gt;=4000,VLOOKUP(AW79,$BE$5:$BH$15,3),L76&gt;=100,VLOOKUP(AW79,$BE$5:$BH$15,2))))</f>
        <v/>
      </c>
      <c r="L76" t="str">
        <f t="shared" ca="1" si="30"/>
        <v/>
      </c>
      <c r="AF76" s="1">
        <f t="shared" ca="1" si="34"/>
        <v>2</v>
      </c>
      <c r="AG76" s="1">
        <f t="shared" ca="1" si="34"/>
        <v>1</v>
      </c>
      <c r="AH76" s="1">
        <f t="shared" ca="1" si="35"/>
        <v>64</v>
      </c>
      <c r="AI76" s="1">
        <f t="shared" ca="1" si="32"/>
        <v>1</v>
      </c>
      <c r="AJ76" s="1">
        <f t="shared" ca="1" si="33"/>
        <v>1</v>
      </c>
      <c r="AO76" s="1">
        <f t="shared" ca="1" si="36"/>
        <v>67</v>
      </c>
      <c r="AP76" s="1">
        <f t="shared" ca="1" si="37"/>
        <v>0</v>
      </c>
      <c r="AS76" s="1">
        <f t="shared" ca="1" si="38"/>
        <v>37</v>
      </c>
      <c r="AV76" s="1">
        <f t="shared" ca="1" si="39"/>
        <v>-57</v>
      </c>
      <c r="AW76" s="1">
        <f t="shared" ca="1" si="40"/>
        <v>2</v>
      </c>
      <c r="AX76">
        <v>2</v>
      </c>
      <c r="AY76" t="s">
        <v>28</v>
      </c>
      <c r="AZ76">
        <v>10</v>
      </c>
      <c r="BE76">
        <v>59</v>
      </c>
      <c r="BF76" t="s">
        <v>96</v>
      </c>
      <c r="BG76" t="s">
        <v>106</v>
      </c>
      <c r="BQ76">
        <v>71</v>
      </c>
      <c r="BR76" t="s">
        <v>148</v>
      </c>
      <c r="BW76">
        <v>71</v>
      </c>
      <c r="BX76" t="s">
        <v>144</v>
      </c>
      <c r="BY76">
        <v>71</v>
      </c>
      <c r="BZ76" t="s">
        <v>148</v>
      </c>
      <c r="CA76">
        <v>71</v>
      </c>
      <c r="CB76" t="s">
        <v>144</v>
      </c>
      <c r="CC76">
        <v>71</v>
      </c>
      <c r="CD76" t="s">
        <v>145</v>
      </c>
      <c r="CF76">
        <v>72</v>
      </c>
      <c r="CG76" t="s">
        <v>192</v>
      </c>
      <c r="CI76">
        <v>72</v>
      </c>
      <c r="CJ76" t="s">
        <v>225</v>
      </c>
      <c r="CL76">
        <v>72</v>
      </c>
      <c r="CM76" t="s">
        <v>257</v>
      </c>
      <c r="CO76">
        <v>72</v>
      </c>
      <c r="CP76" t="s">
        <v>297</v>
      </c>
      <c r="CR76">
        <v>72</v>
      </c>
      <c r="CS76" t="s">
        <v>325</v>
      </c>
      <c r="CU76">
        <v>72</v>
      </c>
      <c r="CV76" t="s">
        <v>341</v>
      </c>
      <c r="CX76">
        <v>72</v>
      </c>
      <c r="CY76">
        <v>2</v>
      </c>
      <c r="DA76">
        <v>72</v>
      </c>
      <c r="DB76">
        <v>3</v>
      </c>
      <c r="DD76">
        <v>72</v>
      </c>
      <c r="DE76">
        <v>4</v>
      </c>
      <c r="DG76">
        <v>72</v>
      </c>
      <c r="DH76" t="s">
        <v>413</v>
      </c>
    </row>
    <row r="77" spans="4:113" x14ac:dyDescent="0.3">
      <c r="D77" t="str">
        <f t="shared" ca="1" si="31"/>
        <v/>
      </c>
      <c r="E77" t="str" cm="1">
        <f t="array" aca="1" ref="E77" ca="1">_xlfn.IFS(D77="","",D77="Starstone", VLOOKUP($BK$4,$BK$6:$BM$11,3)*AI80*AJ80, D77 = "Tristal", VLOOKUP($BK$14,$BK$16:$BM$24,3)*AI80*AJ80, 1=1, VLOOKUP(AO80,$AX$75:$AZ$174,3)*AI80*AJ80)</f>
        <v/>
      </c>
      <c r="F77" t="str" cm="1">
        <f t="array" aca="1" ref="F77" ca="1">IF(D77="","",_xlfn.IFS(AH80&gt;5,"Normal",AND(AH80&lt;=5,$BK$28&lt;=4),VLOOKUP(AF80,$BK$29:$BN$39,2),AND(AH80&lt;=5,$BK$28&gt;=9),VLOOKUP(AF80,$BK$29:$BN$39,2), 1=1, "Normal"))</f>
        <v/>
      </c>
      <c r="G77" t="str" cm="1">
        <f t="array" aca="1" ref="G77" ca="1">IF(D77="","",_xlfn.IFS(AH80&gt;5, "Normal", AND(AH80&lt;=5, $BL$28&lt;=8, $BL$28&gt;=5), VLOOKUP(AG80,$BK$29:$BN$39,3), AND(AH80&lt;=5,$BK$28&gt;=9), VLOOKUP(AG80,$BK$29:$BN$39,3), 1=1, "Normal"))</f>
        <v/>
      </c>
      <c r="H77" t="str">
        <f t="shared" ca="1" si="28"/>
        <v/>
      </c>
      <c r="I77" t="str">
        <f t="shared" ca="1" si="29"/>
        <v/>
      </c>
      <c r="K77" t="str" cm="1">
        <f t="array" aca="1" ref="K77" ca="1">IF(L77="","",(_xlfn.IFS(L77&gt;=15000,VLOOKUP(AW80,$BE$5:$BH$15,4),L77&gt;=4000,VLOOKUP(AW80,$BE$5:$BH$15,3),L77&gt;=100,VLOOKUP(AW80,$BE$5:$BH$15,2))))</f>
        <v/>
      </c>
      <c r="L77" t="str">
        <f t="shared" ca="1" si="30"/>
        <v/>
      </c>
      <c r="AF77" s="1">
        <f t="shared" ca="1" si="34"/>
        <v>7</v>
      </c>
      <c r="AG77" s="1">
        <f t="shared" ca="1" si="34"/>
        <v>8</v>
      </c>
      <c r="AH77" s="1">
        <f t="shared" ca="1" si="35"/>
        <v>98</v>
      </c>
      <c r="AI77" s="1">
        <f t="shared" ca="1" si="32"/>
        <v>2</v>
      </c>
      <c r="AJ77" s="1">
        <f t="shared" ca="1" si="33"/>
        <v>4</v>
      </c>
      <c r="AO77" s="1">
        <f t="shared" ca="1" si="36"/>
        <v>12</v>
      </c>
      <c r="AP77" s="1">
        <f t="shared" ca="1" si="37"/>
        <v>-1</v>
      </c>
      <c r="AS77" s="1">
        <f t="shared" ca="1" si="38"/>
        <v>6</v>
      </c>
      <c r="AV77" s="1">
        <f t="shared" ca="1" si="39"/>
        <v>-58</v>
      </c>
      <c r="AW77" s="1">
        <f t="shared" ca="1" si="40"/>
        <v>10</v>
      </c>
      <c r="AX77">
        <v>3</v>
      </c>
      <c r="AY77" t="s">
        <v>27</v>
      </c>
      <c r="AZ77">
        <v>10</v>
      </c>
      <c r="BE77">
        <v>60</v>
      </c>
      <c r="BF77" t="s">
        <v>96</v>
      </c>
      <c r="BG77" t="s">
        <v>106</v>
      </c>
      <c r="BQ77">
        <v>72</v>
      </c>
      <c r="BR77" t="s">
        <v>148</v>
      </c>
      <c r="BW77">
        <v>72</v>
      </c>
      <c r="BX77" t="s">
        <v>144</v>
      </c>
      <c r="BY77">
        <v>72</v>
      </c>
      <c r="BZ77" t="s">
        <v>148</v>
      </c>
      <c r="CA77">
        <v>72</v>
      </c>
      <c r="CB77" t="s">
        <v>144</v>
      </c>
      <c r="CC77">
        <v>72</v>
      </c>
      <c r="CD77" t="s">
        <v>145</v>
      </c>
      <c r="CF77">
        <v>73</v>
      </c>
      <c r="CG77" t="s">
        <v>193</v>
      </c>
      <c r="CI77">
        <v>73</v>
      </c>
      <c r="CJ77" t="s">
        <v>225</v>
      </c>
      <c r="CL77">
        <v>73</v>
      </c>
      <c r="CM77" t="s">
        <v>257</v>
      </c>
      <c r="CO77">
        <v>73</v>
      </c>
      <c r="CP77" t="s">
        <v>297</v>
      </c>
      <c r="CR77">
        <v>73</v>
      </c>
      <c r="CS77" t="s">
        <v>325</v>
      </c>
      <c r="CU77">
        <v>73</v>
      </c>
      <c r="CV77" t="s">
        <v>341</v>
      </c>
      <c r="CX77">
        <v>73</v>
      </c>
      <c r="CY77">
        <v>2</v>
      </c>
      <c r="DA77">
        <v>73</v>
      </c>
      <c r="DB77">
        <v>3</v>
      </c>
      <c r="DD77">
        <v>73</v>
      </c>
      <c r="DE77">
        <v>4</v>
      </c>
      <c r="DG77">
        <v>73</v>
      </c>
      <c r="DH77" t="s">
        <v>414</v>
      </c>
    </row>
    <row r="78" spans="4:113" x14ac:dyDescent="0.3">
      <c r="D78" t="str">
        <f t="shared" ca="1" si="31"/>
        <v/>
      </c>
      <c r="E78" t="str" cm="1">
        <f t="array" aca="1" ref="E78" ca="1">_xlfn.IFS(D78="","",D78="Starstone", VLOOKUP($BK$4,$BK$6:$BM$11,3)*AI81*AJ81, D78 = "Tristal", VLOOKUP($BK$14,$BK$16:$BM$24,3)*AI81*AJ81, 1=1, VLOOKUP(AO81,$AX$75:$AZ$174,3)*AI81*AJ81)</f>
        <v/>
      </c>
      <c r="F78" t="str" cm="1">
        <f t="array" aca="1" ref="F78" ca="1">IF(D78="","",_xlfn.IFS(AH81&gt;5,"Normal",AND(AH81&lt;=5,$BK$28&lt;=4),VLOOKUP(AF81,$BK$29:$BN$39,2),AND(AH81&lt;=5,$BK$28&gt;=9),VLOOKUP(AF81,$BK$29:$BN$39,2), 1=1, "Normal"))</f>
        <v/>
      </c>
      <c r="G78" t="str" cm="1">
        <f t="array" aca="1" ref="G78" ca="1">IF(D78="","",_xlfn.IFS(AH81&gt;5, "Normal", AND(AH81&lt;=5, $BL$28&lt;=8, $BL$28&gt;=5), VLOOKUP(AG81,$BK$29:$BN$39,3), AND(AH81&lt;=5,$BK$28&gt;=9), VLOOKUP(AG81,$BK$29:$BN$39,3), 1=1, "Normal"))</f>
        <v/>
      </c>
      <c r="H78" t="str">
        <f t="shared" ca="1" si="28"/>
        <v/>
      </c>
      <c r="I78" t="str">
        <f t="shared" ca="1" si="29"/>
        <v/>
      </c>
      <c r="K78" t="str" cm="1">
        <f t="array" aca="1" ref="K78" ca="1">IF(L78="","",(_xlfn.IFS(L78&gt;=15000,VLOOKUP(AW81,$BE$5:$BH$15,4),L78&gt;=4000,VLOOKUP(AW81,$BE$5:$BH$15,3),L78&gt;=100,VLOOKUP(AW81,$BE$5:$BH$15,2))))</f>
        <v/>
      </c>
      <c r="L78" t="str">
        <f t="shared" ca="1" si="30"/>
        <v/>
      </c>
      <c r="AF78" s="1">
        <f t="shared" ca="1" si="34"/>
        <v>1</v>
      </c>
      <c r="AG78" s="1">
        <f t="shared" ca="1" si="34"/>
        <v>10</v>
      </c>
      <c r="AH78" s="1">
        <f t="shared" ca="1" si="35"/>
        <v>94</v>
      </c>
      <c r="AI78" s="1">
        <f t="shared" ca="1" si="32"/>
        <v>0.125</v>
      </c>
      <c r="AJ78" s="1">
        <f t="shared" ca="1" si="33"/>
        <v>8</v>
      </c>
      <c r="AO78" s="1">
        <f t="shared" ca="1" si="36"/>
        <v>16</v>
      </c>
      <c r="AP78" s="1">
        <f t="shared" ca="1" si="37"/>
        <v>-2</v>
      </c>
      <c r="AS78" s="1">
        <f t="shared" ca="1" si="38"/>
        <v>29</v>
      </c>
      <c r="AV78" s="1">
        <f t="shared" ca="1" si="39"/>
        <v>-59</v>
      </c>
      <c r="AW78" s="1">
        <f t="shared" ca="1" si="40"/>
        <v>6</v>
      </c>
      <c r="AX78">
        <v>4</v>
      </c>
      <c r="AY78" t="s">
        <v>29</v>
      </c>
      <c r="AZ78">
        <v>50</v>
      </c>
      <c r="BE78">
        <v>61</v>
      </c>
      <c r="BF78" t="s">
        <v>96</v>
      </c>
      <c r="BG78" t="s">
        <v>106</v>
      </c>
      <c r="BQ78">
        <v>73</v>
      </c>
      <c r="BR78" t="s">
        <v>149</v>
      </c>
      <c r="BW78">
        <v>73</v>
      </c>
      <c r="BX78" t="s">
        <v>144</v>
      </c>
      <c r="BY78">
        <v>73</v>
      </c>
      <c r="BZ78" t="s">
        <v>148</v>
      </c>
      <c r="CA78">
        <v>73</v>
      </c>
      <c r="CB78" t="s">
        <v>144</v>
      </c>
      <c r="CC78">
        <v>73</v>
      </c>
      <c r="CD78" t="s">
        <v>145</v>
      </c>
      <c r="CF78">
        <v>74</v>
      </c>
      <c r="CG78" t="s">
        <v>193</v>
      </c>
      <c r="CI78">
        <v>74</v>
      </c>
      <c r="CJ78" t="s">
        <v>225</v>
      </c>
      <c r="CL78">
        <v>74</v>
      </c>
      <c r="CM78" t="s">
        <v>257</v>
      </c>
      <c r="CO78">
        <v>74</v>
      </c>
      <c r="CP78" t="s">
        <v>297</v>
      </c>
      <c r="CR78">
        <v>74</v>
      </c>
      <c r="CS78" t="s">
        <v>325</v>
      </c>
      <c r="CU78">
        <v>74</v>
      </c>
      <c r="CV78" t="s">
        <v>341</v>
      </c>
      <c r="CX78">
        <v>74</v>
      </c>
      <c r="CY78">
        <v>2</v>
      </c>
      <c r="DA78">
        <v>74</v>
      </c>
      <c r="DB78">
        <v>3</v>
      </c>
      <c r="DD78">
        <v>74</v>
      </c>
      <c r="DE78">
        <v>4</v>
      </c>
      <c r="DG78">
        <v>74</v>
      </c>
      <c r="DH78" t="s">
        <v>415</v>
      </c>
    </row>
    <row r="79" spans="4:113" x14ac:dyDescent="0.3">
      <c r="D79" t="str">
        <f t="shared" ca="1" si="31"/>
        <v/>
      </c>
      <c r="E79" t="str" cm="1">
        <f t="array" aca="1" ref="E79" ca="1">_xlfn.IFS(D79="","",D79="Starstone", VLOOKUP($BK$4,$BK$6:$BM$11,3)*AI82*AJ82, D79 = "Tristal", VLOOKUP($BK$14,$BK$16:$BM$24,3)*AI82*AJ82, 1=1, VLOOKUP(AO82,$AX$75:$AZ$174,3)*AI82*AJ82)</f>
        <v/>
      </c>
      <c r="F79" t="str" cm="1">
        <f t="array" aca="1" ref="F79" ca="1">IF(D79="","",_xlfn.IFS(AH82&gt;5,"Normal",AND(AH82&lt;=5,$BK$28&lt;=4),VLOOKUP(AF82,$BK$29:$BN$39,2),AND(AH82&lt;=5,$BK$28&gt;=9),VLOOKUP(AF82,$BK$29:$BN$39,2), 1=1, "Normal"))</f>
        <v/>
      </c>
      <c r="G79" t="str" cm="1">
        <f t="array" aca="1" ref="G79" ca="1">IF(D79="","",_xlfn.IFS(AH82&gt;5, "Normal", AND(AH82&lt;=5, $BL$28&lt;=8, $BL$28&gt;=5), VLOOKUP(AG82,$BK$29:$BN$39,3), AND(AH82&lt;=5,$BK$28&gt;=9), VLOOKUP(AG82,$BK$29:$BN$39,3), 1=1, "Normal"))</f>
        <v/>
      </c>
      <c r="H79" t="str">
        <f t="shared" ca="1" si="28"/>
        <v/>
      </c>
      <c r="I79" t="str">
        <f t="shared" ca="1" si="29"/>
        <v/>
      </c>
      <c r="K79" t="str" cm="1">
        <f t="array" aca="1" ref="K79" ca="1">IF(L79="","",(_xlfn.IFS(L79&gt;=15000,VLOOKUP(AW82,$BE$5:$BH$15,4),L79&gt;=4000,VLOOKUP(AW82,$BE$5:$BH$15,3),L79&gt;=100,VLOOKUP(AW82,$BE$5:$BH$15,2))))</f>
        <v/>
      </c>
      <c r="L79" t="str">
        <f t="shared" ca="1" si="30"/>
        <v/>
      </c>
      <c r="AF79" s="1">
        <f t="shared" ca="1" si="34"/>
        <v>10</v>
      </c>
      <c r="AG79" s="1">
        <f t="shared" ca="1" si="34"/>
        <v>4</v>
      </c>
      <c r="AH79" s="1">
        <f t="shared" ca="1" si="35"/>
        <v>18</v>
      </c>
      <c r="AI79" s="1">
        <f t="shared" ca="1" si="32"/>
        <v>8</v>
      </c>
      <c r="AJ79" s="1">
        <f t="shared" ca="1" si="33"/>
        <v>0.5</v>
      </c>
      <c r="AO79" s="1">
        <f t="shared" ca="1" si="36"/>
        <v>81</v>
      </c>
      <c r="AP79" s="1">
        <f t="shared" ca="1" si="37"/>
        <v>-3</v>
      </c>
      <c r="AS79" s="1">
        <f t="shared" ca="1" si="38"/>
        <v>9</v>
      </c>
      <c r="AV79" s="1">
        <f t="shared" ca="1" si="39"/>
        <v>-60</v>
      </c>
      <c r="AW79" s="1">
        <f t="shared" ca="1" si="40"/>
        <v>7</v>
      </c>
      <c r="AX79">
        <v>5</v>
      </c>
      <c r="AY79" t="s">
        <v>29</v>
      </c>
      <c r="AZ79">
        <v>50</v>
      </c>
      <c r="BE79">
        <v>62</v>
      </c>
      <c r="BF79" t="s">
        <v>96</v>
      </c>
      <c r="BG79" t="s">
        <v>106</v>
      </c>
      <c r="BQ79">
        <v>74</v>
      </c>
      <c r="BR79" t="s">
        <v>149</v>
      </c>
      <c r="BW79">
        <v>74</v>
      </c>
      <c r="BX79" t="s">
        <v>144</v>
      </c>
      <c r="BY79">
        <v>74</v>
      </c>
      <c r="BZ79" t="s">
        <v>148</v>
      </c>
      <c r="CA79">
        <v>74</v>
      </c>
      <c r="CB79" t="s">
        <v>144</v>
      </c>
      <c r="CC79">
        <v>74</v>
      </c>
      <c r="CD79" t="s">
        <v>145</v>
      </c>
      <c r="CF79">
        <v>75</v>
      </c>
      <c r="CG79" t="s">
        <v>194</v>
      </c>
      <c r="CI79">
        <v>75</v>
      </c>
      <c r="CJ79" t="s">
        <v>225</v>
      </c>
      <c r="CL79">
        <v>75</v>
      </c>
      <c r="CM79" t="s">
        <v>257</v>
      </c>
      <c r="CO79">
        <v>75</v>
      </c>
      <c r="CP79" t="s">
        <v>297</v>
      </c>
      <c r="CR79">
        <v>75</v>
      </c>
      <c r="CS79" t="s">
        <v>325</v>
      </c>
      <c r="CU79">
        <v>75</v>
      </c>
      <c r="CV79" t="s">
        <v>341</v>
      </c>
      <c r="CX79">
        <v>75</v>
      </c>
      <c r="CY79">
        <v>2</v>
      </c>
      <c r="DA79">
        <v>75</v>
      </c>
      <c r="DB79">
        <v>3</v>
      </c>
      <c r="DD79">
        <v>75</v>
      </c>
      <c r="DE79">
        <v>4</v>
      </c>
      <c r="DG79">
        <v>75</v>
      </c>
      <c r="DH79" t="s">
        <v>416</v>
      </c>
    </row>
    <row r="80" spans="4:113" x14ac:dyDescent="0.3">
      <c r="D80" t="str">
        <f t="shared" ca="1" si="31"/>
        <v/>
      </c>
      <c r="E80" t="str" cm="1">
        <f t="array" aca="1" ref="E80" ca="1">_xlfn.IFS(D80="","",D80="Starstone", VLOOKUP($BK$4,$BK$6:$BM$11,3)*AI83*AJ83, D80 = "Tristal", VLOOKUP($BK$14,$BK$16:$BM$24,3)*AI83*AJ83, 1=1, VLOOKUP(AO83,$AX$75:$AZ$174,3)*AI83*AJ83)</f>
        <v/>
      </c>
      <c r="F80" t="str" cm="1">
        <f t="array" aca="1" ref="F80" ca="1">IF(D80="","",_xlfn.IFS(AH83&gt;5,"Normal",AND(AH83&lt;=5,$BK$28&lt;=4),VLOOKUP(AF83,$BK$29:$BN$39,2),AND(AH83&lt;=5,$BK$28&gt;=9),VLOOKUP(AF83,$BK$29:$BN$39,2), 1=1, "Normal"))</f>
        <v/>
      </c>
      <c r="G80" t="str" cm="1">
        <f t="array" aca="1" ref="G80" ca="1">IF(D80="","",_xlfn.IFS(AH83&gt;5, "Normal", AND(AH83&lt;=5, $BL$28&lt;=8, $BL$28&gt;=5), VLOOKUP(AG83,$BK$29:$BN$39,3), AND(AH83&lt;=5,$BK$28&gt;=9), VLOOKUP(AG83,$BK$29:$BN$39,3), 1=1, "Normal"))</f>
        <v/>
      </c>
      <c r="H80" t="str">
        <f t="shared" ca="1" si="28"/>
        <v/>
      </c>
      <c r="I80" t="str">
        <f t="shared" ca="1" si="29"/>
        <v/>
      </c>
      <c r="K80" t="str" cm="1">
        <f t="array" aca="1" ref="K80" ca="1">IF(L80="","",(_xlfn.IFS(L80&gt;=15000,VLOOKUP(AW83,$BE$5:$BH$15,4),L80&gt;=4000,VLOOKUP(AW83,$BE$5:$BH$15,3),L80&gt;=100,VLOOKUP(AW83,$BE$5:$BH$15,2))))</f>
        <v/>
      </c>
      <c r="L80" t="str">
        <f t="shared" ca="1" si="30"/>
        <v/>
      </c>
      <c r="AF80" s="1">
        <f t="shared" ca="1" si="34"/>
        <v>5</v>
      </c>
      <c r="AG80" s="1">
        <f t="shared" ca="1" si="34"/>
        <v>1</v>
      </c>
      <c r="AH80" s="1">
        <f t="shared" ca="1" si="35"/>
        <v>79</v>
      </c>
      <c r="AI80" s="1">
        <f t="shared" ca="1" si="32"/>
        <v>0.5</v>
      </c>
      <c r="AJ80" s="1">
        <f t="shared" ca="1" si="33"/>
        <v>0.125</v>
      </c>
      <c r="AO80" s="1">
        <f t="shared" ca="1" si="36"/>
        <v>31</v>
      </c>
      <c r="AP80" s="1">
        <f t="shared" ca="1" si="37"/>
        <v>-4</v>
      </c>
      <c r="AS80" s="1">
        <f t="shared" ca="1" si="38"/>
        <v>41</v>
      </c>
      <c r="AV80" s="1">
        <f t="shared" ca="1" si="39"/>
        <v>-61</v>
      </c>
      <c r="AW80" s="1">
        <f t="shared" ca="1" si="40"/>
        <v>6</v>
      </c>
      <c r="AX80">
        <v>6</v>
      </c>
      <c r="AY80" t="s">
        <v>30</v>
      </c>
      <c r="AZ80">
        <v>50</v>
      </c>
      <c r="BE80">
        <v>63</v>
      </c>
      <c r="BF80" t="s">
        <v>96</v>
      </c>
      <c r="BG80" t="s">
        <v>106</v>
      </c>
      <c r="BQ80">
        <v>75</v>
      </c>
      <c r="BR80" t="s">
        <v>149</v>
      </c>
      <c r="BW80">
        <v>75</v>
      </c>
      <c r="BX80" t="s">
        <v>144</v>
      </c>
      <c r="BY80">
        <v>75</v>
      </c>
      <c r="BZ80" t="s">
        <v>148</v>
      </c>
      <c r="CA80">
        <v>75</v>
      </c>
      <c r="CB80" t="s">
        <v>144</v>
      </c>
      <c r="CC80">
        <v>75</v>
      </c>
      <c r="CD80" t="s">
        <v>145</v>
      </c>
      <c r="CF80">
        <v>76</v>
      </c>
      <c r="CG80" t="s">
        <v>194</v>
      </c>
      <c r="CI80">
        <v>76</v>
      </c>
      <c r="CJ80" t="s">
        <v>226</v>
      </c>
      <c r="CL80">
        <v>76</v>
      </c>
      <c r="CM80" t="s">
        <v>257</v>
      </c>
      <c r="CO80">
        <v>76</v>
      </c>
      <c r="CP80" t="s">
        <v>297</v>
      </c>
      <c r="CR80">
        <v>76</v>
      </c>
      <c r="CS80" t="s">
        <v>325</v>
      </c>
      <c r="CU80">
        <v>76</v>
      </c>
      <c r="CV80" t="s">
        <v>341</v>
      </c>
      <c r="CX80">
        <v>76</v>
      </c>
      <c r="CY80">
        <v>2</v>
      </c>
      <c r="DA80">
        <v>76</v>
      </c>
      <c r="DB80">
        <v>3</v>
      </c>
      <c r="DD80">
        <v>76</v>
      </c>
      <c r="DE80">
        <v>5</v>
      </c>
      <c r="DG80">
        <v>76</v>
      </c>
      <c r="DH80" t="s">
        <v>417</v>
      </c>
    </row>
    <row r="81" spans="4:113" x14ac:dyDescent="0.3">
      <c r="D81" t="str">
        <f t="shared" ca="1" si="31"/>
        <v/>
      </c>
      <c r="E81" t="str" cm="1">
        <f t="array" aca="1" ref="E81" ca="1">_xlfn.IFS(D81="","",D81="Starstone", VLOOKUP($BK$4,$BK$6:$BM$11,3)*AI84*AJ84, D81 = "Tristal", VLOOKUP($BK$14,$BK$16:$BM$24,3)*AI84*AJ84, 1=1, VLOOKUP(AO84,$AX$75:$AZ$174,3)*AI84*AJ84)</f>
        <v/>
      </c>
      <c r="F81" t="str" cm="1">
        <f t="array" aca="1" ref="F81" ca="1">IF(D81="","",_xlfn.IFS(AH84&gt;5,"Normal",AND(AH84&lt;=5,$BK$28&lt;=4),VLOOKUP(AF84,$BK$29:$BN$39,2),AND(AH84&lt;=5,$BK$28&gt;=9),VLOOKUP(AF84,$BK$29:$BN$39,2), 1=1, "Normal"))</f>
        <v/>
      </c>
      <c r="G81" t="str" cm="1">
        <f t="array" aca="1" ref="G81" ca="1">IF(D81="","",_xlfn.IFS(AH84&gt;5, "Normal", AND(AH84&lt;=5, $BL$28&lt;=8, $BL$28&gt;=5), VLOOKUP(AG84,$BK$29:$BN$39,3), AND(AH84&lt;=5,$BK$28&gt;=9), VLOOKUP(AG84,$BK$29:$BN$39,3), 1=1, "Normal"))</f>
        <v/>
      </c>
      <c r="H81" t="str">
        <f t="shared" ca="1" si="28"/>
        <v/>
      </c>
      <c r="I81" t="str">
        <f t="shared" ca="1" si="29"/>
        <v/>
      </c>
      <c r="K81" t="str" cm="1">
        <f t="array" aca="1" ref="K81" ca="1">IF(L81="","",(_xlfn.IFS(L81&gt;=15000,VLOOKUP(AW84,$BE$5:$BH$15,4),L81&gt;=4000,VLOOKUP(AW84,$BE$5:$BH$15,3),L81&gt;=100,VLOOKUP(AW84,$BE$5:$BH$15,2))))</f>
        <v/>
      </c>
      <c r="L81" t="str">
        <f t="shared" ca="1" si="30"/>
        <v/>
      </c>
      <c r="AF81" s="1">
        <f t="shared" ca="1" si="34"/>
        <v>7</v>
      </c>
      <c r="AG81" s="1">
        <f t="shared" ca="1" si="34"/>
        <v>9</v>
      </c>
      <c r="AH81" s="1">
        <f t="shared" ca="1" si="35"/>
        <v>51</v>
      </c>
      <c r="AI81" s="1">
        <f t="shared" ca="1" si="32"/>
        <v>2</v>
      </c>
      <c r="AJ81" s="1">
        <f t="shared" ca="1" si="33"/>
        <v>4</v>
      </c>
      <c r="AO81" s="1">
        <f t="shared" ca="1" si="36"/>
        <v>66</v>
      </c>
      <c r="AP81" s="1">
        <f t="shared" ca="1" si="37"/>
        <v>-5</v>
      </c>
      <c r="AS81" s="1">
        <f t="shared" ca="1" si="38"/>
        <v>3</v>
      </c>
      <c r="AV81" s="1">
        <f t="shared" ca="1" si="39"/>
        <v>-62</v>
      </c>
      <c r="AW81" s="1">
        <f t="shared" ca="1" si="40"/>
        <v>7</v>
      </c>
      <c r="AX81">
        <v>7</v>
      </c>
      <c r="AY81" t="s">
        <v>30</v>
      </c>
      <c r="AZ81">
        <v>50</v>
      </c>
      <c r="BE81">
        <v>64</v>
      </c>
      <c r="BF81" t="s">
        <v>96</v>
      </c>
      <c r="BG81" t="s">
        <v>106</v>
      </c>
      <c r="BQ81">
        <v>76</v>
      </c>
      <c r="BR81" t="s">
        <v>149</v>
      </c>
      <c r="BW81">
        <v>76</v>
      </c>
      <c r="BX81" t="s">
        <v>144</v>
      </c>
      <c r="BY81">
        <v>76</v>
      </c>
      <c r="BZ81" t="s">
        <v>148</v>
      </c>
      <c r="CA81">
        <v>76</v>
      </c>
      <c r="CB81" t="s">
        <v>144</v>
      </c>
      <c r="CC81">
        <v>76</v>
      </c>
      <c r="CD81" t="s">
        <v>145</v>
      </c>
      <c r="CF81">
        <v>77</v>
      </c>
      <c r="CG81" t="s">
        <v>194</v>
      </c>
      <c r="CI81">
        <v>77</v>
      </c>
      <c r="CJ81" t="s">
        <v>226</v>
      </c>
      <c r="CL81">
        <v>77</v>
      </c>
      <c r="CM81" t="s">
        <v>257</v>
      </c>
      <c r="CO81">
        <v>77</v>
      </c>
      <c r="CP81" t="s">
        <v>298</v>
      </c>
      <c r="CR81">
        <v>77</v>
      </c>
      <c r="CS81" t="s">
        <v>325</v>
      </c>
      <c r="CU81">
        <v>77</v>
      </c>
      <c r="CV81" t="s">
        <v>341</v>
      </c>
      <c r="CX81">
        <v>77</v>
      </c>
      <c r="CY81">
        <v>2</v>
      </c>
      <c r="DA81">
        <v>77</v>
      </c>
      <c r="DB81">
        <v>4</v>
      </c>
      <c r="DD81">
        <v>77</v>
      </c>
      <c r="DE81">
        <v>5</v>
      </c>
      <c r="DG81">
        <v>77</v>
      </c>
      <c r="DH81" t="s">
        <v>418</v>
      </c>
    </row>
    <row r="82" spans="4:113" x14ac:dyDescent="0.3">
      <c r="D82" t="str">
        <f t="shared" ca="1" si="31"/>
        <v/>
      </c>
      <c r="E82" t="str" cm="1">
        <f t="array" aca="1" ref="E82" ca="1">_xlfn.IFS(D82="","",D82="Starstone", VLOOKUP($BK$4,$BK$6:$BM$11,3)*AI85*AJ85, D82 = "Tristal", VLOOKUP($BK$14,$BK$16:$BM$24,3)*AI85*AJ85, 1=1, VLOOKUP(AO85,$AX$75:$AZ$174,3)*AI85*AJ85)</f>
        <v/>
      </c>
      <c r="F82" t="str" cm="1">
        <f t="array" aca="1" ref="F82" ca="1">IF(D82="","",_xlfn.IFS(AH85&gt;5,"Normal",AND(AH85&lt;=5,$BK$28&lt;=4),VLOOKUP(AF85,$BK$29:$BN$39,2),AND(AH85&lt;=5,$BK$28&gt;=9),VLOOKUP(AF85,$BK$29:$BN$39,2), 1=1, "Normal"))</f>
        <v/>
      </c>
      <c r="G82" t="str" cm="1">
        <f t="array" aca="1" ref="G82" ca="1">IF(D82="","",_xlfn.IFS(AH85&gt;5, "Normal", AND(AH85&lt;=5, $BL$28&lt;=8, $BL$28&gt;=5), VLOOKUP(AG85,$BK$29:$BN$39,3), AND(AH85&lt;=5,$BK$28&gt;=9), VLOOKUP(AG85,$BK$29:$BN$39,3), 1=1, "Normal"))</f>
        <v/>
      </c>
      <c r="H82" t="str">
        <f t="shared" ca="1" si="28"/>
        <v/>
      </c>
      <c r="I82" t="str">
        <f t="shared" ca="1" si="29"/>
        <v/>
      </c>
      <c r="K82" t="str" cm="1">
        <f t="array" aca="1" ref="K82" ca="1">IF(L82="","",(_xlfn.IFS(L82&gt;=15000,VLOOKUP(AW85,$BE$5:$BH$15,4),L82&gt;=4000,VLOOKUP(AW85,$BE$5:$BH$15,3),L82&gt;=100,VLOOKUP(AW85,$BE$5:$BH$15,2))))</f>
        <v/>
      </c>
      <c r="L82" t="str">
        <f t="shared" ca="1" si="30"/>
        <v/>
      </c>
      <c r="AF82" s="1">
        <f t="shared" ca="1" si="34"/>
        <v>6</v>
      </c>
      <c r="AG82" s="1">
        <f t="shared" ca="1" si="34"/>
        <v>8</v>
      </c>
      <c r="AH82" s="1">
        <f t="shared" ca="1" si="35"/>
        <v>3</v>
      </c>
      <c r="AI82" s="1">
        <f t="shared" ca="1" si="32"/>
        <v>2</v>
      </c>
      <c r="AJ82" s="1">
        <f t="shared" ca="1" si="33"/>
        <v>4</v>
      </c>
      <c r="AO82" s="1">
        <f t="shared" ca="1" si="36"/>
        <v>32</v>
      </c>
      <c r="AP82" s="1">
        <f t="shared" ca="1" si="37"/>
        <v>-6</v>
      </c>
      <c r="AS82" s="1">
        <f t="shared" ca="1" si="38"/>
        <v>34</v>
      </c>
      <c r="AV82" s="1">
        <f t="shared" ca="1" si="39"/>
        <v>-63</v>
      </c>
      <c r="AW82" s="1">
        <f t="shared" ca="1" si="40"/>
        <v>3</v>
      </c>
      <c r="AX82">
        <v>8</v>
      </c>
      <c r="AY82" t="s">
        <v>31</v>
      </c>
      <c r="AZ82">
        <v>50</v>
      </c>
      <c r="BE82">
        <v>65</v>
      </c>
      <c r="BF82" t="s">
        <v>96</v>
      </c>
      <c r="BG82" t="s">
        <v>106</v>
      </c>
      <c r="BQ82">
        <v>77</v>
      </c>
      <c r="BR82" t="s">
        <v>149</v>
      </c>
      <c r="BW82">
        <v>77</v>
      </c>
      <c r="BX82" t="s">
        <v>144</v>
      </c>
      <c r="BY82">
        <v>77</v>
      </c>
      <c r="BZ82" t="s">
        <v>148</v>
      </c>
      <c r="CA82">
        <v>77</v>
      </c>
      <c r="CB82" t="s">
        <v>144</v>
      </c>
      <c r="CC82">
        <v>77</v>
      </c>
      <c r="CD82" t="s">
        <v>145</v>
      </c>
      <c r="CF82">
        <v>78</v>
      </c>
      <c r="CG82" t="s">
        <v>195</v>
      </c>
      <c r="CI82">
        <v>78</v>
      </c>
      <c r="CJ82" t="s">
        <v>227</v>
      </c>
      <c r="CL82">
        <v>78</v>
      </c>
      <c r="CM82" t="s">
        <v>257</v>
      </c>
      <c r="CO82">
        <v>78</v>
      </c>
      <c r="CP82" t="s">
        <v>298</v>
      </c>
      <c r="CR82">
        <v>78</v>
      </c>
      <c r="CS82" t="s">
        <v>325</v>
      </c>
      <c r="CU82">
        <v>78</v>
      </c>
      <c r="CV82" t="s">
        <v>341</v>
      </c>
      <c r="CX82">
        <v>78</v>
      </c>
      <c r="CY82">
        <v>2</v>
      </c>
      <c r="DA82">
        <v>78</v>
      </c>
      <c r="DB82">
        <v>4</v>
      </c>
      <c r="DD82">
        <v>78</v>
      </c>
      <c r="DE82">
        <v>5</v>
      </c>
      <c r="DG82">
        <v>78</v>
      </c>
      <c r="DH82" t="s">
        <v>419</v>
      </c>
      <c r="DI82">
        <v>6</v>
      </c>
    </row>
    <row r="83" spans="4:113" x14ac:dyDescent="0.3">
      <c r="D83" t="str">
        <f t="shared" ca="1" si="31"/>
        <v/>
      </c>
      <c r="E83" t="str" cm="1">
        <f t="array" aca="1" ref="E83" ca="1">_xlfn.IFS(D83="","",D83="Starstone", VLOOKUP($BK$4,$BK$6:$BM$11,3)*AI86*AJ86, D83 = "Tristal", VLOOKUP($BK$14,$BK$16:$BM$24,3)*AI86*AJ86, 1=1, VLOOKUP(AO86,$AX$75:$AZ$174,3)*AI86*AJ86)</f>
        <v/>
      </c>
      <c r="F83" t="str" cm="1">
        <f t="array" aca="1" ref="F83" ca="1">IF(D83="","",_xlfn.IFS(AH86&gt;5,"Normal",AND(AH86&lt;=5,$BK$28&lt;=4),VLOOKUP(AF86,$BK$29:$BN$39,2),AND(AH86&lt;=5,$BK$28&gt;=9),VLOOKUP(AF86,$BK$29:$BN$39,2), 1=1, "Normal"))</f>
        <v/>
      </c>
      <c r="G83" t="str" cm="1">
        <f t="array" aca="1" ref="G83" ca="1">IF(D83="","",_xlfn.IFS(AH86&gt;5, "Normal", AND(AH86&lt;=5, $BL$28&lt;=8, $BL$28&gt;=5), VLOOKUP(AG86,$BK$29:$BN$39,3), AND(AH86&lt;=5,$BK$28&gt;=9), VLOOKUP(AG86,$BK$29:$BN$39,3), 1=1, "Normal"))</f>
        <v/>
      </c>
      <c r="H83" t="str">
        <f t="shared" ca="1" si="28"/>
        <v/>
      </c>
      <c r="I83" t="str">
        <f t="shared" ca="1" si="29"/>
        <v/>
      </c>
      <c r="K83" t="str" cm="1">
        <f t="array" aca="1" ref="K83" ca="1">IF(L83="","",(_xlfn.IFS(L83&gt;=15000,VLOOKUP(AW86,$BE$5:$BH$15,4),L83&gt;=4000,VLOOKUP(AW86,$BE$5:$BH$15,3),L83&gt;=100,VLOOKUP(AW86,$BE$5:$BH$15,2))))</f>
        <v/>
      </c>
      <c r="L83" t="str">
        <f t="shared" ca="1" si="30"/>
        <v/>
      </c>
      <c r="AF83" s="1">
        <f t="shared" ca="1" si="34"/>
        <v>6</v>
      </c>
      <c r="AG83" s="1">
        <f t="shared" ca="1" si="34"/>
        <v>9</v>
      </c>
      <c r="AH83" s="1">
        <f t="shared" ca="1" si="35"/>
        <v>47</v>
      </c>
      <c r="AI83" s="1">
        <f t="shared" ca="1" si="32"/>
        <v>2</v>
      </c>
      <c r="AJ83" s="1">
        <f t="shared" ca="1" si="33"/>
        <v>4</v>
      </c>
      <c r="AO83" s="1">
        <f t="shared" ca="1" si="36"/>
        <v>27</v>
      </c>
      <c r="AP83" s="1">
        <f t="shared" ca="1" si="37"/>
        <v>-7</v>
      </c>
      <c r="AS83" s="1">
        <f t="shared" ca="1" si="38"/>
        <v>6</v>
      </c>
      <c r="AV83" s="1">
        <f t="shared" ca="1" si="39"/>
        <v>-64</v>
      </c>
      <c r="AW83" s="1">
        <f t="shared" ca="1" si="40"/>
        <v>10</v>
      </c>
      <c r="AX83">
        <v>9</v>
      </c>
      <c r="AY83" t="s">
        <v>31</v>
      </c>
      <c r="AZ83">
        <v>50</v>
      </c>
      <c r="BE83">
        <v>66</v>
      </c>
      <c r="BF83" t="s">
        <v>97</v>
      </c>
      <c r="BG83">
        <f ca="1">RANDBETWEEN(1,10)</f>
        <v>7</v>
      </c>
      <c r="BQ83">
        <v>78</v>
      </c>
      <c r="BR83" t="s">
        <v>149</v>
      </c>
      <c r="BW83">
        <v>78</v>
      </c>
      <c r="BX83" t="s">
        <v>144</v>
      </c>
      <c r="BY83">
        <v>78</v>
      </c>
      <c r="BZ83" t="s">
        <v>148</v>
      </c>
      <c r="CA83">
        <v>78</v>
      </c>
      <c r="CB83" t="s">
        <v>144</v>
      </c>
      <c r="CC83">
        <v>78</v>
      </c>
      <c r="CD83" t="s">
        <v>145</v>
      </c>
      <c r="CF83">
        <v>79</v>
      </c>
      <c r="CG83" t="s">
        <v>195</v>
      </c>
      <c r="CI83">
        <v>79</v>
      </c>
      <c r="CJ83" t="s">
        <v>227</v>
      </c>
      <c r="CL83">
        <v>79</v>
      </c>
      <c r="CM83" t="s">
        <v>257</v>
      </c>
      <c r="CO83">
        <v>79</v>
      </c>
      <c r="CP83" t="s">
        <v>298</v>
      </c>
      <c r="CR83">
        <v>79</v>
      </c>
      <c r="CS83" t="s">
        <v>326</v>
      </c>
      <c r="CU83">
        <v>79</v>
      </c>
      <c r="CV83" t="s">
        <v>341</v>
      </c>
      <c r="CX83">
        <v>79</v>
      </c>
      <c r="CY83">
        <v>2</v>
      </c>
      <c r="DA83">
        <v>79</v>
      </c>
      <c r="DB83">
        <v>4</v>
      </c>
      <c r="DD83">
        <v>79</v>
      </c>
      <c r="DE83">
        <v>5</v>
      </c>
      <c r="DG83">
        <v>79</v>
      </c>
      <c r="DH83" t="s">
        <v>420</v>
      </c>
      <c r="DI83">
        <v>7</v>
      </c>
    </row>
    <row r="84" spans="4:113" x14ac:dyDescent="0.3">
      <c r="D84" t="str">
        <f t="shared" ca="1" si="31"/>
        <v/>
      </c>
      <c r="E84" t="str" cm="1">
        <f t="array" aca="1" ref="E84" ca="1">_xlfn.IFS(D84="","",D84="Starstone", VLOOKUP($BK$4,$BK$6:$BM$11,3)*AI87*AJ87, D84 = "Tristal", VLOOKUP($BK$14,$BK$16:$BM$24,3)*AI87*AJ87, 1=1, VLOOKUP(AO87,$AX$75:$AZ$174,3)*AI87*AJ87)</f>
        <v/>
      </c>
      <c r="F84" t="str" cm="1">
        <f t="array" aca="1" ref="F84" ca="1">IF(D84="","",_xlfn.IFS(AH87&gt;5,"Normal",AND(AH87&lt;=5,$BK$28&lt;=4),VLOOKUP(AF87,$BK$29:$BN$39,2),AND(AH87&lt;=5,$BK$28&gt;=9),VLOOKUP(AF87,$BK$29:$BN$39,2), 1=1, "Normal"))</f>
        <v/>
      </c>
      <c r="G84" t="str" cm="1">
        <f t="array" aca="1" ref="G84" ca="1">IF(D84="","",_xlfn.IFS(AH87&gt;5, "Normal", AND(AH87&lt;=5, $BL$28&lt;=8, $BL$28&gt;=5), VLOOKUP(AG87,$BK$29:$BN$39,3), AND(AH87&lt;=5,$BK$28&gt;=9), VLOOKUP(AG87,$BK$29:$BN$39,3), 1=1, "Normal"))</f>
        <v/>
      </c>
      <c r="H84" t="str">
        <f t="shared" ca="1" si="28"/>
        <v/>
      </c>
      <c r="I84" t="str">
        <f t="shared" ca="1" si="29"/>
        <v/>
      </c>
      <c r="K84" t="str" cm="1">
        <f t="array" aca="1" ref="K84" ca="1">IF(L84="","",(_xlfn.IFS(L84&gt;=15000,VLOOKUP(AW87,$BE$5:$BH$15,4),L84&gt;=4000,VLOOKUP(AW87,$BE$5:$BH$15,3),L84&gt;=100,VLOOKUP(AW87,$BE$5:$BH$15,2))))</f>
        <v/>
      </c>
      <c r="L84" t="str">
        <f t="shared" ca="1" si="30"/>
        <v/>
      </c>
      <c r="AF84" s="1">
        <f t="shared" ca="1" si="34"/>
        <v>5</v>
      </c>
      <c r="AG84" s="1">
        <f t="shared" ca="1" si="34"/>
        <v>6</v>
      </c>
      <c r="AH84" s="1">
        <f t="shared" ca="1" si="35"/>
        <v>21</v>
      </c>
      <c r="AI84" s="1">
        <f t="shared" ca="1" si="32"/>
        <v>0.5</v>
      </c>
      <c r="AJ84" s="1">
        <f t="shared" ca="1" si="33"/>
        <v>2</v>
      </c>
      <c r="AO84" s="1">
        <f t="shared" ca="1" si="36"/>
        <v>17</v>
      </c>
      <c r="AP84" s="1">
        <f t="shared" ca="1" si="37"/>
        <v>-8</v>
      </c>
      <c r="AS84" s="1">
        <f t="shared" ca="1" si="38"/>
        <v>30</v>
      </c>
      <c r="AV84" s="1">
        <f t="shared" ca="1" si="39"/>
        <v>-65</v>
      </c>
      <c r="AW84" s="1">
        <f t="shared" ca="1" si="40"/>
        <v>4</v>
      </c>
      <c r="AX84">
        <v>10</v>
      </c>
      <c r="AY84" t="s">
        <v>29</v>
      </c>
      <c r="AZ84">
        <v>50</v>
      </c>
      <c r="BE84">
        <v>67</v>
      </c>
      <c r="BF84" t="s">
        <v>97</v>
      </c>
      <c r="BG84">
        <f t="shared" ref="BG84:BG92" ca="1" si="41">RANDBETWEEN(1,10)</f>
        <v>1</v>
      </c>
      <c r="BQ84">
        <v>79</v>
      </c>
      <c r="BR84" t="s">
        <v>149</v>
      </c>
      <c r="BW84">
        <v>79</v>
      </c>
      <c r="BX84" t="s">
        <v>145</v>
      </c>
      <c r="BY84">
        <v>79</v>
      </c>
      <c r="BZ84" t="s">
        <v>148</v>
      </c>
      <c r="CA84">
        <v>79</v>
      </c>
      <c r="CB84" t="s">
        <v>144</v>
      </c>
      <c r="CC84">
        <v>79</v>
      </c>
      <c r="CD84" t="s">
        <v>145</v>
      </c>
      <c r="CF84">
        <v>80</v>
      </c>
      <c r="CG84" t="s">
        <v>195</v>
      </c>
      <c r="CI84">
        <v>80</v>
      </c>
      <c r="CJ84" t="s">
        <v>227</v>
      </c>
      <c r="CL84">
        <v>80</v>
      </c>
      <c r="CM84" t="s">
        <v>257</v>
      </c>
      <c r="CO84">
        <v>80</v>
      </c>
      <c r="CP84" t="s">
        <v>299</v>
      </c>
      <c r="CR84">
        <v>80</v>
      </c>
      <c r="CS84" t="s">
        <v>327</v>
      </c>
      <c r="CU84">
        <v>80</v>
      </c>
      <c r="CV84" t="s">
        <v>341</v>
      </c>
      <c r="CX84">
        <v>80</v>
      </c>
      <c r="CY84">
        <v>2</v>
      </c>
      <c r="DA84">
        <v>80</v>
      </c>
      <c r="DB84">
        <v>4</v>
      </c>
      <c r="DD84">
        <v>80</v>
      </c>
      <c r="DE84">
        <v>5</v>
      </c>
      <c r="DG84">
        <v>80</v>
      </c>
      <c r="DH84" t="s">
        <v>421</v>
      </c>
    </row>
    <row r="85" spans="4:113" x14ac:dyDescent="0.3">
      <c r="D85" t="str">
        <f t="shared" ca="1" si="31"/>
        <v/>
      </c>
      <c r="E85" t="str" cm="1">
        <f t="array" aca="1" ref="E85" ca="1">_xlfn.IFS(D85="","",D85="Starstone", VLOOKUP($BK$4,$BK$6:$BM$11,3)*AI88*AJ88, D85 = "Tristal", VLOOKUP($BK$14,$BK$16:$BM$24,3)*AI88*AJ88, 1=1, VLOOKUP(AO88,$AX$75:$AZ$174,3)*AI88*AJ88)</f>
        <v/>
      </c>
      <c r="F85" t="str" cm="1">
        <f t="array" aca="1" ref="F85" ca="1">IF(D85="","",_xlfn.IFS(AH88&gt;5,"Normal",AND(AH88&lt;=5,$BK$28&lt;=4),VLOOKUP(AF88,$BK$29:$BN$39,2),AND(AH88&lt;=5,$BK$28&gt;=9),VLOOKUP(AF88,$BK$29:$BN$39,2), 1=1, "Normal"))</f>
        <v/>
      </c>
      <c r="G85" t="str" cm="1">
        <f t="array" aca="1" ref="G85" ca="1">IF(D85="","",_xlfn.IFS(AH88&gt;5, "Normal", AND(AH88&lt;=5, $BL$28&lt;=8, $BL$28&gt;=5), VLOOKUP(AG88,$BK$29:$BN$39,3), AND(AH88&lt;=5,$BK$28&gt;=9), VLOOKUP(AG88,$BK$29:$BN$39,3), 1=1, "Normal"))</f>
        <v/>
      </c>
      <c r="H85" t="str">
        <f t="shared" ca="1" si="28"/>
        <v/>
      </c>
      <c r="I85" t="str">
        <f t="shared" ca="1" si="29"/>
        <v/>
      </c>
      <c r="K85" t="str" cm="1">
        <f t="array" aca="1" ref="K85" ca="1">IF(L85="","",(_xlfn.IFS(L85&gt;=15000,VLOOKUP(AW88,$BE$5:$BH$15,4),L85&gt;=4000,VLOOKUP(AW88,$BE$5:$BH$15,3),L85&gt;=100,VLOOKUP(AW88,$BE$5:$BH$15,2))))</f>
        <v/>
      </c>
      <c r="L85" t="str">
        <f t="shared" ca="1" si="30"/>
        <v/>
      </c>
      <c r="AF85" s="1">
        <f t="shared" ca="1" si="34"/>
        <v>6</v>
      </c>
      <c r="AG85" s="1">
        <f t="shared" ca="1" si="34"/>
        <v>2</v>
      </c>
      <c r="AH85" s="1">
        <f t="shared" ca="1" si="35"/>
        <v>56</v>
      </c>
      <c r="AI85" s="1">
        <f t="shared" ca="1" si="32"/>
        <v>2</v>
      </c>
      <c r="AJ85" s="1">
        <f t="shared" ca="1" si="33"/>
        <v>0.25</v>
      </c>
      <c r="AO85" s="1">
        <f t="shared" ca="1" si="36"/>
        <v>7</v>
      </c>
      <c r="AP85" s="1">
        <f t="shared" ca="1" si="37"/>
        <v>-9</v>
      </c>
      <c r="AS85" s="1">
        <f t="shared" ca="1" si="38"/>
        <v>32</v>
      </c>
      <c r="AV85" s="1">
        <f t="shared" ca="1" si="39"/>
        <v>-66</v>
      </c>
      <c r="AW85" s="1">
        <f t="shared" ca="1" si="40"/>
        <v>8</v>
      </c>
      <c r="AX85">
        <v>11</v>
      </c>
      <c r="AY85" t="s">
        <v>32</v>
      </c>
      <c r="AZ85">
        <v>100</v>
      </c>
      <c r="BE85">
        <v>68</v>
      </c>
      <c r="BF85" t="s">
        <v>97</v>
      </c>
      <c r="BG85">
        <f t="shared" ca="1" si="41"/>
        <v>10</v>
      </c>
      <c r="BQ85">
        <v>80</v>
      </c>
      <c r="BR85" t="s">
        <v>149</v>
      </c>
      <c r="BW85">
        <v>80</v>
      </c>
      <c r="BX85" t="s">
        <v>145</v>
      </c>
      <c r="BY85">
        <v>80</v>
      </c>
      <c r="BZ85" t="s">
        <v>148</v>
      </c>
      <c r="CA85">
        <v>80</v>
      </c>
      <c r="CB85" t="s">
        <v>144</v>
      </c>
      <c r="CC85">
        <v>80</v>
      </c>
      <c r="CD85" t="s">
        <v>145</v>
      </c>
      <c r="CF85">
        <v>81</v>
      </c>
      <c r="CG85" t="s">
        <v>196</v>
      </c>
      <c r="CI85">
        <v>81</v>
      </c>
      <c r="CJ85" t="s">
        <v>227</v>
      </c>
      <c r="CL85">
        <v>81</v>
      </c>
      <c r="CM85" t="s">
        <v>257</v>
      </c>
      <c r="CO85">
        <v>81</v>
      </c>
      <c r="CP85" t="s">
        <v>299</v>
      </c>
      <c r="CR85">
        <v>81</v>
      </c>
      <c r="CS85" t="s">
        <v>327</v>
      </c>
      <c r="CU85">
        <v>81</v>
      </c>
      <c r="CV85" t="s">
        <v>341</v>
      </c>
      <c r="CX85">
        <v>81</v>
      </c>
      <c r="CY85">
        <v>2</v>
      </c>
      <c r="DA85">
        <v>81</v>
      </c>
      <c r="DB85">
        <v>4</v>
      </c>
      <c r="DD85">
        <v>81</v>
      </c>
      <c r="DE85">
        <v>5</v>
      </c>
      <c r="DG85">
        <v>81</v>
      </c>
      <c r="DH85" t="s">
        <v>422</v>
      </c>
    </row>
    <row r="86" spans="4:113" x14ac:dyDescent="0.3">
      <c r="D86" t="str">
        <f t="shared" ca="1" si="31"/>
        <v/>
      </c>
      <c r="E86" t="str" cm="1">
        <f t="array" aca="1" ref="E86" ca="1">_xlfn.IFS(D86="","",D86="Starstone", VLOOKUP($BK$4,$BK$6:$BM$11,3)*AI89*AJ89, D86 = "Tristal", VLOOKUP($BK$14,$BK$16:$BM$24,3)*AI89*AJ89, 1=1, VLOOKUP(AO89,$AX$75:$AZ$174,3)*AI89*AJ89)</f>
        <v/>
      </c>
      <c r="F86" t="str" cm="1">
        <f t="array" aca="1" ref="F86" ca="1">IF(D86="","",_xlfn.IFS(AH89&gt;5,"Normal",AND(AH89&lt;=5,$BK$28&lt;=4),VLOOKUP(AF89,$BK$29:$BN$39,2),AND(AH89&lt;=5,$BK$28&gt;=9),VLOOKUP(AF89,$BK$29:$BN$39,2), 1=1, "Normal"))</f>
        <v/>
      </c>
      <c r="G86" t="str" cm="1">
        <f t="array" aca="1" ref="G86" ca="1">IF(D86="","",_xlfn.IFS(AH89&gt;5, "Normal", AND(AH89&lt;=5, $BL$28&lt;=8, $BL$28&gt;=5), VLOOKUP(AG89,$BK$29:$BN$39,3), AND(AH89&lt;=5,$BK$28&gt;=9), VLOOKUP(AG89,$BK$29:$BN$39,3), 1=1, "Normal"))</f>
        <v/>
      </c>
      <c r="H86" t="str">
        <f t="shared" ca="1" si="28"/>
        <v/>
      </c>
      <c r="I86" t="str">
        <f t="shared" ca="1" si="29"/>
        <v/>
      </c>
      <c r="K86" t="str" cm="1">
        <f t="array" aca="1" ref="K86" ca="1">IF(L86="","",(_xlfn.IFS(L86&gt;=15000,VLOOKUP(AW89,$BE$5:$BH$15,4),L86&gt;=4000,VLOOKUP(AW89,$BE$5:$BH$15,3),L86&gt;=100,VLOOKUP(AW89,$BE$5:$BH$15,2))))</f>
        <v/>
      </c>
      <c r="L86" t="str">
        <f t="shared" ca="1" si="30"/>
        <v/>
      </c>
      <c r="AF86" s="1">
        <f t="shared" ca="1" si="34"/>
        <v>2</v>
      </c>
      <c r="AG86" s="1">
        <f t="shared" ca="1" si="34"/>
        <v>9</v>
      </c>
      <c r="AH86" s="1">
        <f t="shared" ca="1" si="35"/>
        <v>7</v>
      </c>
      <c r="AI86" s="1">
        <f t="shared" ca="1" si="32"/>
        <v>0.25</v>
      </c>
      <c r="AJ86" s="1">
        <f t="shared" ca="1" si="33"/>
        <v>4</v>
      </c>
      <c r="AO86" s="1">
        <f t="shared" ca="1" si="36"/>
        <v>17</v>
      </c>
      <c r="AP86" s="1">
        <f t="shared" ca="1" si="37"/>
        <v>-10</v>
      </c>
      <c r="AS86" s="1">
        <f t="shared" ca="1" si="38"/>
        <v>13</v>
      </c>
      <c r="AV86" s="1">
        <f t="shared" ca="1" si="39"/>
        <v>-67</v>
      </c>
      <c r="AW86" s="1">
        <f t="shared" ca="1" si="40"/>
        <v>4</v>
      </c>
      <c r="AX86">
        <v>12</v>
      </c>
      <c r="AY86" t="s">
        <v>33</v>
      </c>
      <c r="AZ86">
        <v>100</v>
      </c>
      <c r="BE86">
        <v>69</v>
      </c>
      <c r="BF86" t="s">
        <v>97</v>
      </c>
      <c r="BG86">
        <f t="shared" ca="1" si="41"/>
        <v>1</v>
      </c>
      <c r="BQ86">
        <v>81</v>
      </c>
      <c r="BR86" t="s">
        <v>149</v>
      </c>
      <c r="BW86">
        <v>81</v>
      </c>
      <c r="BX86" t="s">
        <v>145</v>
      </c>
      <c r="BY86">
        <v>81</v>
      </c>
      <c r="BZ86" t="s">
        <v>148</v>
      </c>
      <c r="CA86">
        <v>81</v>
      </c>
      <c r="CB86" t="s">
        <v>144</v>
      </c>
      <c r="CC86">
        <v>81</v>
      </c>
      <c r="CD86" t="s">
        <v>145</v>
      </c>
      <c r="CF86">
        <v>82</v>
      </c>
      <c r="CG86" t="s">
        <v>196</v>
      </c>
      <c r="CI86">
        <v>82</v>
      </c>
      <c r="CJ86" t="s">
        <v>228</v>
      </c>
      <c r="CL86">
        <v>82</v>
      </c>
      <c r="CM86" t="s">
        <v>257</v>
      </c>
      <c r="CO86">
        <v>82</v>
      </c>
      <c r="CP86" t="s">
        <v>299</v>
      </c>
      <c r="CR86">
        <v>82</v>
      </c>
      <c r="CS86" t="s">
        <v>327</v>
      </c>
      <c r="CU86">
        <v>82</v>
      </c>
      <c r="CV86" t="s">
        <v>341</v>
      </c>
      <c r="CX86">
        <v>82</v>
      </c>
      <c r="CY86">
        <v>2</v>
      </c>
      <c r="DA86">
        <v>82</v>
      </c>
      <c r="DB86">
        <v>4</v>
      </c>
      <c r="DD86">
        <v>82</v>
      </c>
      <c r="DE86">
        <v>5</v>
      </c>
      <c r="DG86">
        <v>82</v>
      </c>
      <c r="DH86" t="s">
        <v>423</v>
      </c>
    </row>
    <row r="87" spans="4:113" x14ac:dyDescent="0.3">
      <c r="D87" t="str">
        <f t="shared" ca="1" si="31"/>
        <v/>
      </c>
      <c r="E87" t="str" cm="1">
        <f t="array" aca="1" ref="E87" ca="1">_xlfn.IFS(D87="","",D87="Starstone", VLOOKUP($BK$4,$BK$6:$BM$11,3)*AI90*AJ90, D87 = "Tristal", VLOOKUP($BK$14,$BK$16:$BM$24,3)*AI90*AJ90, 1=1, VLOOKUP(AO90,$AX$75:$AZ$174,3)*AI90*AJ90)</f>
        <v/>
      </c>
      <c r="F87" t="str" cm="1">
        <f t="array" aca="1" ref="F87" ca="1">IF(D87="","",_xlfn.IFS(AH90&gt;5,"Normal",AND(AH90&lt;=5,$BK$28&lt;=4),VLOOKUP(AF90,$BK$29:$BN$39,2),AND(AH90&lt;=5,$BK$28&gt;=9),VLOOKUP(AF90,$BK$29:$BN$39,2), 1=1, "Normal"))</f>
        <v/>
      </c>
      <c r="G87" t="str" cm="1">
        <f t="array" aca="1" ref="G87" ca="1">IF(D87="","",_xlfn.IFS(AH90&gt;5, "Normal", AND(AH90&lt;=5, $BL$28&lt;=8, $BL$28&gt;=5), VLOOKUP(AG90,$BK$29:$BN$39,3), AND(AH90&lt;=5,$BK$28&gt;=9), VLOOKUP(AG90,$BK$29:$BN$39,3), 1=1, "Normal"))</f>
        <v/>
      </c>
      <c r="H87" t="str">
        <f t="shared" ca="1" si="28"/>
        <v/>
      </c>
      <c r="I87" t="str">
        <f t="shared" ca="1" si="29"/>
        <v/>
      </c>
      <c r="K87" t="str" cm="1">
        <f t="array" aca="1" ref="K87" ca="1">IF(L87="","",(_xlfn.IFS(L87&gt;=15000,VLOOKUP(AW90,$BE$5:$BH$15,4),L87&gt;=4000,VLOOKUP(AW90,$BE$5:$BH$15,3),L87&gt;=100,VLOOKUP(AW90,$BE$5:$BH$15,2))))</f>
        <v/>
      </c>
      <c r="L87" t="str">
        <f t="shared" ca="1" si="30"/>
        <v/>
      </c>
      <c r="AF87" s="1">
        <f t="shared" ca="1" si="34"/>
        <v>4</v>
      </c>
      <c r="AG87" s="1">
        <f t="shared" ca="1" si="34"/>
        <v>3</v>
      </c>
      <c r="AH87" s="1">
        <f t="shared" ca="1" si="35"/>
        <v>21</v>
      </c>
      <c r="AI87" s="1">
        <f t="shared" ca="1" si="32"/>
        <v>0.5</v>
      </c>
      <c r="AJ87" s="1">
        <f t="shared" ca="1" si="33"/>
        <v>0.25</v>
      </c>
      <c r="AO87" s="1">
        <f t="shared" ca="1" si="36"/>
        <v>52</v>
      </c>
      <c r="AP87" s="1">
        <f t="shared" ca="1" si="37"/>
        <v>-11</v>
      </c>
      <c r="AS87" s="1">
        <f t="shared" ca="1" si="38"/>
        <v>75</v>
      </c>
      <c r="AV87" s="1">
        <f t="shared" ca="1" si="39"/>
        <v>-68</v>
      </c>
      <c r="AW87" s="1">
        <f t="shared" ca="1" si="40"/>
        <v>10</v>
      </c>
      <c r="AX87">
        <v>13</v>
      </c>
      <c r="AY87" t="s">
        <v>34</v>
      </c>
      <c r="AZ87">
        <v>100</v>
      </c>
      <c r="BE87">
        <v>70</v>
      </c>
      <c r="BF87" t="s">
        <v>97</v>
      </c>
      <c r="BG87">
        <f t="shared" ca="1" si="41"/>
        <v>2</v>
      </c>
      <c r="BQ87">
        <v>82</v>
      </c>
      <c r="BR87" t="s">
        <v>149</v>
      </c>
      <c r="BW87">
        <v>82</v>
      </c>
      <c r="BX87" t="s">
        <v>145</v>
      </c>
      <c r="BY87">
        <v>82</v>
      </c>
      <c r="BZ87" t="s">
        <v>148</v>
      </c>
      <c r="CA87">
        <v>82</v>
      </c>
      <c r="CB87" t="s">
        <v>144</v>
      </c>
      <c r="CC87">
        <v>82</v>
      </c>
      <c r="CD87" t="s">
        <v>145</v>
      </c>
      <c r="CF87">
        <v>83</v>
      </c>
      <c r="CG87" t="s">
        <v>197</v>
      </c>
      <c r="CI87">
        <v>83</v>
      </c>
      <c r="CJ87" t="s">
        <v>228</v>
      </c>
      <c r="CL87">
        <v>83</v>
      </c>
      <c r="CM87" t="s">
        <v>257</v>
      </c>
      <c r="CO87">
        <v>83</v>
      </c>
      <c r="CP87" t="s">
        <v>300</v>
      </c>
      <c r="CR87">
        <v>83</v>
      </c>
      <c r="CS87" t="s">
        <v>328</v>
      </c>
      <c r="CU87">
        <v>83</v>
      </c>
      <c r="CV87" t="s">
        <v>341</v>
      </c>
      <c r="CX87">
        <v>83</v>
      </c>
      <c r="CY87">
        <v>2</v>
      </c>
      <c r="DA87">
        <v>83</v>
      </c>
      <c r="DB87">
        <v>4</v>
      </c>
      <c r="DD87">
        <v>83</v>
      </c>
      <c r="DE87">
        <v>5</v>
      </c>
      <c r="DG87">
        <v>83</v>
      </c>
      <c r="DH87" t="s">
        <v>424</v>
      </c>
    </row>
    <row r="88" spans="4:113" x14ac:dyDescent="0.3">
      <c r="D88" t="str">
        <f t="shared" ca="1" si="31"/>
        <v/>
      </c>
      <c r="E88" t="str" cm="1">
        <f t="array" aca="1" ref="E88" ca="1">_xlfn.IFS(D88="","",D88="Starstone", VLOOKUP($BK$4,$BK$6:$BM$11,3)*AI91*AJ91, D88 = "Tristal", VLOOKUP($BK$14,$BK$16:$BM$24,3)*AI91*AJ91, 1=1, VLOOKUP(AO91,$AX$75:$AZ$174,3)*AI91*AJ91)</f>
        <v/>
      </c>
      <c r="F88" t="str" cm="1">
        <f t="array" aca="1" ref="F88" ca="1">IF(D88="","",_xlfn.IFS(AH91&gt;5,"Normal",AND(AH91&lt;=5,$BK$28&lt;=4),VLOOKUP(AF91,$BK$29:$BN$39,2),AND(AH91&lt;=5,$BK$28&gt;=9),VLOOKUP(AF91,$BK$29:$BN$39,2), 1=1, "Normal"))</f>
        <v/>
      </c>
      <c r="G88" t="str" cm="1">
        <f t="array" aca="1" ref="G88" ca="1">IF(D88="","",_xlfn.IFS(AH91&gt;5, "Normal", AND(AH91&lt;=5, $BL$28&lt;=8, $BL$28&gt;=5), VLOOKUP(AG91,$BK$29:$BN$39,3), AND(AH91&lt;=5,$BK$28&gt;=9), VLOOKUP(AG91,$BK$29:$BN$39,3), 1=1, "Normal"))</f>
        <v/>
      </c>
      <c r="H88" t="str">
        <f t="shared" ca="1" si="28"/>
        <v/>
      </c>
      <c r="I88" t="str">
        <f t="shared" ca="1" si="29"/>
        <v/>
      </c>
      <c r="K88" t="str" cm="1">
        <f t="array" aca="1" ref="K88" ca="1">IF(L88="","",(_xlfn.IFS(L88&gt;=15000,VLOOKUP(AW91,$BE$5:$BH$15,4),L88&gt;=4000,VLOOKUP(AW91,$BE$5:$BH$15,3),L88&gt;=100,VLOOKUP(AW91,$BE$5:$BH$15,2))))</f>
        <v/>
      </c>
      <c r="L88" t="str">
        <f t="shared" ca="1" si="30"/>
        <v/>
      </c>
      <c r="AF88" s="1">
        <f t="shared" ca="1" si="34"/>
        <v>5</v>
      </c>
      <c r="AG88" s="1">
        <f t="shared" ca="1" si="34"/>
        <v>5</v>
      </c>
      <c r="AH88" s="1">
        <f t="shared" ca="1" si="35"/>
        <v>58</v>
      </c>
      <c r="AI88" s="1">
        <f t="shared" ca="1" si="32"/>
        <v>0.5</v>
      </c>
      <c r="AJ88" s="1">
        <f t="shared" ca="1" si="33"/>
        <v>0.5</v>
      </c>
      <c r="AO88" s="1">
        <f t="shared" ca="1" si="36"/>
        <v>99</v>
      </c>
      <c r="AP88" s="1">
        <f t="shared" ca="1" si="37"/>
        <v>-12</v>
      </c>
      <c r="AS88" s="1">
        <f t="shared" ca="1" si="38"/>
        <v>49</v>
      </c>
      <c r="AV88" s="1">
        <f t="shared" ca="1" si="39"/>
        <v>-69</v>
      </c>
      <c r="AW88" s="1">
        <f t="shared" ca="1" si="40"/>
        <v>1</v>
      </c>
      <c r="AX88">
        <v>14</v>
      </c>
      <c r="AY88" t="s">
        <v>35</v>
      </c>
      <c r="AZ88">
        <v>100</v>
      </c>
      <c r="BE88">
        <v>71</v>
      </c>
      <c r="BF88" t="s">
        <v>97</v>
      </c>
      <c r="BG88">
        <f t="shared" ca="1" si="41"/>
        <v>5</v>
      </c>
      <c r="BQ88">
        <v>83</v>
      </c>
      <c r="BR88" t="s">
        <v>149</v>
      </c>
      <c r="BW88">
        <v>83</v>
      </c>
      <c r="BX88" t="s">
        <v>145</v>
      </c>
      <c r="BY88">
        <v>83</v>
      </c>
      <c r="BZ88" t="s">
        <v>148</v>
      </c>
      <c r="CA88">
        <v>83</v>
      </c>
      <c r="CB88" t="s">
        <v>144</v>
      </c>
      <c r="CC88">
        <v>83</v>
      </c>
      <c r="CD88" t="s">
        <v>145</v>
      </c>
      <c r="CF88">
        <v>84</v>
      </c>
      <c r="CG88" t="s">
        <v>197</v>
      </c>
      <c r="CI88">
        <v>84</v>
      </c>
      <c r="CJ88" t="s">
        <v>228</v>
      </c>
      <c r="CL88">
        <v>84</v>
      </c>
      <c r="CM88" t="s">
        <v>257</v>
      </c>
      <c r="CO88">
        <v>84</v>
      </c>
      <c r="CP88" t="s">
        <v>300</v>
      </c>
      <c r="CR88">
        <v>84</v>
      </c>
      <c r="CS88" t="s">
        <v>328</v>
      </c>
      <c r="CU88">
        <v>84</v>
      </c>
      <c r="CV88" t="s">
        <v>341</v>
      </c>
      <c r="CX88">
        <v>84</v>
      </c>
      <c r="CY88">
        <v>3</v>
      </c>
      <c r="DA88">
        <v>84</v>
      </c>
      <c r="DB88">
        <v>4</v>
      </c>
      <c r="DD88">
        <v>84</v>
      </c>
      <c r="DE88">
        <v>5</v>
      </c>
      <c r="DG88">
        <v>84</v>
      </c>
      <c r="DH88" t="s">
        <v>425</v>
      </c>
    </row>
    <row r="89" spans="4:113" x14ac:dyDescent="0.3">
      <c r="D89" t="str">
        <f t="shared" ca="1" si="31"/>
        <v/>
      </c>
      <c r="E89" t="str" cm="1">
        <f t="array" aca="1" ref="E89" ca="1">_xlfn.IFS(D89="","",D89="Starstone", VLOOKUP($BK$4,$BK$6:$BM$11,3)*AI92*AJ92, D89 = "Tristal", VLOOKUP($BK$14,$BK$16:$BM$24,3)*AI92*AJ92, 1=1, VLOOKUP(AO92,$AX$75:$AZ$174,3)*AI92*AJ92)</f>
        <v/>
      </c>
      <c r="F89" t="str" cm="1">
        <f t="array" aca="1" ref="F89" ca="1">IF(D89="","",_xlfn.IFS(AH92&gt;5,"Normal",AND(AH92&lt;=5,$BK$28&lt;=4),VLOOKUP(AF92,$BK$29:$BN$39,2),AND(AH92&lt;=5,$BK$28&gt;=9),VLOOKUP(AF92,$BK$29:$BN$39,2), 1=1, "Normal"))</f>
        <v/>
      </c>
      <c r="G89" t="str" cm="1">
        <f t="array" aca="1" ref="G89" ca="1">IF(D89="","",_xlfn.IFS(AH92&gt;5, "Normal", AND(AH92&lt;=5, $BL$28&lt;=8, $BL$28&gt;=5), VLOOKUP(AG92,$BK$29:$BN$39,3), AND(AH92&lt;=5,$BK$28&gt;=9), VLOOKUP(AG92,$BK$29:$BN$39,3), 1=1, "Normal"))</f>
        <v/>
      </c>
      <c r="H89" t="str">
        <f t="shared" ca="1" si="28"/>
        <v/>
      </c>
      <c r="I89" t="str">
        <f t="shared" ca="1" si="29"/>
        <v/>
      </c>
      <c r="K89" t="str" cm="1">
        <f t="array" aca="1" ref="K89" ca="1">IF(L89="","",(_xlfn.IFS(L89&gt;=15000,VLOOKUP(AW92,$BE$5:$BH$15,4),L89&gt;=4000,VLOOKUP(AW92,$BE$5:$BH$15,3),L89&gt;=100,VLOOKUP(AW92,$BE$5:$BH$15,2))))</f>
        <v/>
      </c>
      <c r="L89" t="str">
        <f t="shared" ca="1" si="30"/>
        <v/>
      </c>
      <c r="AF89" s="1">
        <f t="shared" ca="1" si="34"/>
        <v>6</v>
      </c>
      <c r="AG89" s="1">
        <f t="shared" ca="1" si="34"/>
        <v>1</v>
      </c>
      <c r="AH89" s="1">
        <f t="shared" ca="1" si="35"/>
        <v>19</v>
      </c>
      <c r="AI89" s="1">
        <f t="shared" ca="1" si="32"/>
        <v>2</v>
      </c>
      <c r="AJ89" s="1">
        <f t="shared" ca="1" si="33"/>
        <v>0.125</v>
      </c>
      <c r="AO89" s="1">
        <f t="shared" ca="1" si="36"/>
        <v>57</v>
      </c>
      <c r="AP89" s="1">
        <f t="shared" ca="1" si="37"/>
        <v>-13</v>
      </c>
      <c r="AS89" s="1">
        <f t="shared" ca="1" si="38"/>
        <v>37</v>
      </c>
      <c r="AV89" s="1">
        <f t="shared" ca="1" si="39"/>
        <v>-70</v>
      </c>
      <c r="AW89" s="1">
        <f t="shared" ca="1" si="40"/>
        <v>3</v>
      </c>
      <c r="AX89">
        <v>15</v>
      </c>
      <c r="AY89" t="s">
        <v>36</v>
      </c>
      <c r="AZ89">
        <v>100</v>
      </c>
      <c r="BE89">
        <v>72</v>
      </c>
      <c r="BF89" t="s">
        <v>97</v>
      </c>
      <c r="BG89">
        <f t="shared" ca="1" si="41"/>
        <v>6</v>
      </c>
      <c r="BQ89">
        <v>84</v>
      </c>
      <c r="BR89" t="s">
        <v>150</v>
      </c>
      <c r="BW89">
        <v>84</v>
      </c>
      <c r="BX89" t="s">
        <v>145</v>
      </c>
      <c r="BY89">
        <v>84</v>
      </c>
      <c r="BZ89" t="s">
        <v>148</v>
      </c>
      <c r="CA89">
        <v>84</v>
      </c>
      <c r="CB89" t="s">
        <v>144</v>
      </c>
      <c r="CC89">
        <v>84</v>
      </c>
      <c r="CD89" t="s">
        <v>145</v>
      </c>
      <c r="CF89">
        <v>85</v>
      </c>
      <c r="CG89" t="s">
        <v>198</v>
      </c>
      <c r="CI89">
        <v>85</v>
      </c>
      <c r="CJ89" t="s">
        <v>229</v>
      </c>
      <c r="CL89">
        <v>85</v>
      </c>
      <c r="CM89" t="s">
        <v>257</v>
      </c>
      <c r="CO89">
        <v>85</v>
      </c>
      <c r="CP89" t="s">
        <v>300</v>
      </c>
      <c r="CR89">
        <v>85</v>
      </c>
      <c r="CS89" t="s">
        <v>328</v>
      </c>
      <c r="CU89">
        <v>85</v>
      </c>
      <c r="CV89" t="s">
        <v>341</v>
      </c>
      <c r="CX89">
        <v>85</v>
      </c>
      <c r="CY89">
        <v>3</v>
      </c>
      <c r="DA89">
        <v>85</v>
      </c>
      <c r="DB89">
        <v>4</v>
      </c>
      <c r="DD89">
        <v>85</v>
      </c>
      <c r="DE89">
        <v>6</v>
      </c>
      <c r="DG89">
        <v>85</v>
      </c>
      <c r="DH89" t="s">
        <v>426</v>
      </c>
    </row>
    <row r="90" spans="4:113" x14ac:dyDescent="0.3">
      <c r="D90" t="str">
        <f t="shared" ca="1" si="31"/>
        <v/>
      </c>
      <c r="E90" t="str" cm="1">
        <f t="array" aca="1" ref="E90" ca="1">_xlfn.IFS(D90="","",D90="Starstone", VLOOKUP($BK$4,$BK$6:$BM$11,3)*AI93*AJ93, D90 = "Tristal", VLOOKUP($BK$14,$BK$16:$BM$24,3)*AI93*AJ93, 1=1, VLOOKUP(AO93,$AX$75:$AZ$174,3)*AI93*AJ93)</f>
        <v/>
      </c>
      <c r="F90" t="str" cm="1">
        <f t="array" aca="1" ref="F90" ca="1">IF(D90="","",_xlfn.IFS(AH93&gt;5,"Normal",AND(AH93&lt;=5,$BK$28&lt;=4),VLOOKUP(AF93,$BK$29:$BN$39,2),AND(AH93&lt;=5,$BK$28&gt;=9),VLOOKUP(AF93,$BK$29:$BN$39,2), 1=1, "Normal"))</f>
        <v/>
      </c>
      <c r="G90" t="str" cm="1">
        <f t="array" aca="1" ref="G90" ca="1">IF(D90="","",_xlfn.IFS(AH93&gt;5, "Normal", AND(AH93&lt;=5, $BL$28&lt;=8, $BL$28&gt;=5), VLOOKUP(AG93,$BK$29:$BN$39,3), AND(AH93&lt;=5,$BK$28&gt;=9), VLOOKUP(AG93,$BK$29:$BN$39,3), 1=1, "Normal"))</f>
        <v/>
      </c>
      <c r="H90" t="str">
        <f t="shared" ca="1" si="28"/>
        <v/>
      </c>
      <c r="I90" t="str">
        <f t="shared" ca="1" si="29"/>
        <v/>
      </c>
      <c r="K90" t="str" cm="1">
        <f t="array" aca="1" ref="K90" ca="1">IF(L90="","",(_xlfn.IFS(L90&gt;=15000,VLOOKUP(AW93,$BE$5:$BH$15,4),L90&gt;=4000,VLOOKUP(AW93,$BE$5:$BH$15,3),L90&gt;=100,VLOOKUP(AW93,$BE$5:$BH$15,2))))</f>
        <v/>
      </c>
      <c r="L90" t="str">
        <f t="shared" ca="1" si="30"/>
        <v/>
      </c>
      <c r="AF90" s="1">
        <f t="shared" ca="1" si="34"/>
        <v>9</v>
      </c>
      <c r="AG90" s="1">
        <f t="shared" ca="1" si="34"/>
        <v>5</v>
      </c>
      <c r="AH90" s="1">
        <f t="shared" ca="1" si="35"/>
        <v>66</v>
      </c>
      <c r="AI90" s="1">
        <f t="shared" ca="1" si="32"/>
        <v>4</v>
      </c>
      <c r="AJ90" s="1">
        <f t="shared" ca="1" si="33"/>
        <v>0.5</v>
      </c>
      <c r="AO90" s="1">
        <f t="shared" ca="1" si="36"/>
        <v>19</v>
      </c>
      <c r="AP90" s="1">
        <f t="shared" ca="1" si="37"/>
        <v>-14</v>
      </c>
      <c r="AS90" s="1">
        <f t="shared" ca="1" si="38"/>
        <v>2</v>
      </c>
      <c r="AV90" s="1">
        <f t="shared" ca="1" si="39"/>
        <v>-71</v>
      </c>
      <c r="AW90" s="1">
        <f t="shared" ca="1" si="40"/>
        <v>2</v>
      </c>
      <c r="AX90">
        <v>16</v>
      </c>
      <c r="AY90" t="s">
        <v>32</v>
      </c>
      <c r="AZ90">
        <v>100</v>
      </c>
      <c r="BE90">
        <v>73</v>
      </c>
      <c r="BF90" t="s">
        <v>97</v>
      </c>
      <c r="BG90">
        <f t="shared" ca="1" si="41"/>
        <v>5</v>
      </c>
      <c r="BQ90">
        <v>85</v>
      </c>
      <c r="BR90" t="s">
        <v>150</v>
      </c>
      <c r="BW90">
        <v>85</v>
      </c>
      <c r="BX90" t="s">
        <v>145</v>
      </c>
      <c r="BY90">
        <v>85</v>
      </c>
      <c r="BZ90" t="s">
        <v>148</v>
      </c>
      <c r="CA90">
        <v>85</v>
      </c>
      <c r="CB90" t="s">
        <v>144</v>
      </c>
      <c r="CC90">
        <v>85</v>
      </c>
      <c r="CD90" t="s">
        <v>145</v>
      </c>
      <c r="CF90">
        <v>86</v>
      </c>
      <c r="CG90" t="s">
        <v>198</v>
      </c>
      <c r="CI90">
        <v>86</v>
      </c>
      <c r="CJ90" t="s">
        <v>229</v>
      </c>
      <c r="CL90">
        <v>86</v>
      </c>
      <c r="CM90" t="s">
        <v>257</v>
      </c>
      <c r="CO90">
        <v>86</v>
      </c>
      <c r="CP90" t="s">
        <v>300</v>
      </c>
      <c r="CR90">
        <v>86</v>
      </c>
      <c r="CS90" t="s">
        <v>329</v>
      </c>
      <c r="CU90">
        <v>86</v>
      </c>
      <c r="CV90" t="s">
        <v>341</v>
      </c>
      <c r="CX90">
        <v>86</v>
      </c>
      <c r="CY90">
        <v>3</v>
      </c>
      <c r="DA90">
        <v>86</v>
      </c>
      <c r="DB90">
        <v>4</v>
      </c>
      <c r="DD90">
        <v>86</v>
      </c>
      <c r="DE90">
        <v>6</v>
      </c>
      <c r="DG90">
        <v>86</v>
      </c>
      <c r="DH90" t="s">
        <v>427</v>
      </c>
    </row>
    <row r="91" spans="4:113" x14ac:dyDescent="0.3">
      <c r="D91" t="str">
        <f t="shared" ca="1" si="31"/>
        <v/>
      </c>
      <c r="E91" t="str" cm="1">
        <f t="array" aca="1" ref="E91" ca="1">_xlfn.IFS(D91="","",D91="Starstone", VLOOKUP($BK$4,$BK$6:$BM$11,3)*AI94*AJ94, D91 = "Tristal", VLOOKUP($BK$14,$BK$16:$BM$24,3)*AI94*AJ94, 1=1, VLOOKUP(AO94,$AX$75:$AZ$174,3)*AI94*AJ94)</f>
        <v/>
      </c>
      <c r="F91" t="str" cm="1">
        <f t="array" aca="1" ref="F91" ca="1">IF(D91="","",_xlfn.IFS(AH94&gt;5,"Normal",AND(AH94&lt;=5,$BK$28&lt;=4),VLOOKUP(AF94,$BK$29:$BN$39,2),AND(AH94&lt;=5,$BK$28&gt;=9),VLOOKUP(AF94,$BK$29:$BN$39,2), 1=1, "Normal"))</f>
        <v/>
      </c>
      <c r="G91" t="str" cm="1">
        <f t="array" aca="1" ref="G91" ca="1">IF(D91="","",_xlfn.IFS(AH94&gt;5, "Normal", AND(AH94&lt;=5, $BL$28&lt;=8, $BL$28&gt;=5), VLOOKUP(AG94,$BK$29:$BN$39,3), AND(AH94&lt;=5,$BK$28&gt;=9), VLOOKUP(AG94,$BK$29:$BN$39,3), 1=1, "Normal"))</f>
        <v/>
      </c>
      <c r="H91" t="str">
        <f t="shared" ca="1" si="28"/>
        <v/>
      </c>
      <c r="I91" t="str">
        <f t="shared" ca="1" si="29"/>
        <v/>
      </c>
      <c r="K91" t="str" cm="1">
        <f t="array" aca="1" ref="K91" ca="1">IF(L91="","",(_xlfn.IFS(L91&gt;=15000,VLOOKUP(AW94,$BE$5:$BH$15,4),L91&gt;=4000,VLOOKUP(AW94,$BE$5:$BH$15,3),L91&gt;=100,VLOOKUP(AW94,$BE$5:$BH$15,2))))</f>
        <v/>
      </c>
      <c r="L91" t="str">
        <f t="shared" ca="1" si="30"/>
        <v/>
      </c>
      <c r="AF91" s="1">
        <f t="shared" ca="1" si="34"/>
        <v>7</v>
      </c>
      <c r="AG91" s="1">
        <f t="shared" ca="1" si="34"/>
        <v>5</v>
      </c>
      <c r="AH91" s="1">
        <f t="shared" ca="1" si="35"/>
        <v>62</v>
      </c>
      <c r="AI91" s="1">
        <f t="shared" ca="1" si="32"/>
        <v>2</v>
      </c>
      <c r="AJ91" s="1">
        <f t="shared" ca="1" si="33"/>
        <v>0.5</v>
      </c>
      <c r="AO91" s="1">
        <f t="shared" ca="1" si="36"/>
        <v>85</v>
      </c>
      <c r="AP91" s="1">
        <f t="shared" ca="1" si="37"/>
        <v>-15</v>
      </c>
      <c r="AS91" s="1">
        <f t="shared" ca="1" si="38"/>
        <v>57</v>
      </c>
      <c r="AV91" s="1">
        <f t="shared" ca="1" si="39"/>
        <v>-72</v>
      </c>
      <c r="AW91" s="1">
        <f t="shared" ca="1" si="40"/>
        <v>6</v>
      </c>
      <c r="AX91">
        <v>17</v>
      </c>
      <c r="AY91" t="s">
        <v>33</v>
      </c>
      <c r="AZ91">
        <v>100</v>
      </c>
      <c r="BE91">
        <v>74</v>
      </c>
      <c r="BF91" t="s">
        <v>97</v>
      </c>
      <c r="BG91">
        <f t="shared" ca="1" si="41"/>
        <v>9</v>
      </c>
      <c r="BQ91">
        <v>86</v>
      </c>
      <c r="BR91" t="s">
        <v>150</v>
      </c>
      <c r="BW91">
        <v>86</v>
      </c>
      <c r="BX91" t="s">
        <v>145</v>
      </c>
      <c r="BY91">
        <v>86</v>
      </c>
      <c r="BZ91" t="s">
        <v>148</v>
      </c>
      <c r="CA91">
        <v>86</v>
      </c>
      <c r="CB91" t="s">
        <v>144</v>
      </c>
      <c r="CC91">
        <v>86</v>
      </c>
      <c r="CD91" t="s">
        <v>145</v>
      </c>
      <c r="CF91">
        <v>87</v>
      </c>
      <c r="CG91" t="s">
        <v>198</v>
      </c>
      <c r="CI91">
        <v>87</v>
      </c>
      <c r="CJ91" t="s">
        <v>230</v>
      </c>
      <c r="CL91">
        <v>87</v>
      </c>
      <c r="CM91" t="s">
        <v>257</v>
      </c>
      <c r="CO91">
        <v>87</v>
      </c>
      <c r="CP91" t="s">
        <v>301</v>
      </c>
      <c r="CR91">
        <v>87</v>
      </c>
      <c r="CS91" t="s">
        <v>329</v>
      </c>
      <c r="CU91">
        <v>87</v>
      </c>
      <c r="CV91" t="s">
        <v>341</v>
      </c>
      <c r="CX91">
        <v>87</v>
      </c>
      <c r="CY91">
        <v>3</v>
      </c>
      <c r="DA91">
        <v>87</v>
      </c>
      <c r="DB91">
        <v>4</v>
      </c>
      <c r="DD91">
        <v>87</v>
      </c>
      <c r="DE91">
        <v>6</v>
      </c>
      <c r="DG91">
        <v>87</v>
      </c>
      <c r="DH91" t="s">
        <v>428</v>
      </c>
    </row>
    <row r="92" spans="4:113" x14ac:dyDescent="0.3">
      <c r="D92" t="str">
        <f t="shared" ca="1" si="31"/>
        <v/>
      </c>
      <c r="E92" t="str" cm="1">
        <f t="array" aca="1" ref="E92" ca="1">_xlfn.IFS(D92="","",D92="Starstone", VLOOKUP($BK$4,$BK$6:$BM$11,3)*AI95*AJ95, D92 = "Tristal", VLOOKUP($BK$14,$BK$16:$BM$24,3)*AI95*AJ95, 1=1, VLOOKUP(AO95,$AX$75:$AZ$174,3)*AI95*AJ95)</f>
        <v/>
      </c>
      <c r="F92" t="str" cm="1">
        <f t="array" aca="1" ref="F92" ca="1">IF(D92="","",_xlfn.IFS(AH95&gt;5,"Normal",AND(AH95&lt;=5,$BK$28&lt;=4),VLOOKUP(AF95,$BK$29:$BN$39,2),AND(AH95&lt;=5,$BK$28&gt;=9),VLOOKUP(AF95,$BK$29:$BN$39,2), 1=1, "Normal"))</f>
        <v/>
      </c>
      <c r="G92" t="str" cm="1">
        <f t="array" aca="1" ref="G92" ca="1">IF(D92="","",_xlfn.IFS(AH95&gt;5, "Normal", AND(AH95&lt;=5, $BL$28&lt;=8, $BL$28&gt;=5), VLOOKUP(AG95,$BK$29:$BN$39,3), AND(AH95&lt;=5,$BK$28&gt;=9), VLOOKUP(AG95,$BK$29:$BN$39,3), 1=1, "Normal"))</f>
        <v/>
      </c>
      <c r="H92" t="str">
        <f t="shared" ca="1" si="28"/>
        <v/>
      </c>
      <c r="I92" t="str">
        <f t="shared" ca="1" si="29"/>
        <v/>
      </c>
      <c r="K92" t="str" cm="1">
        <f t="array" aca="1" ref="K92" ca="1">IF(L92="","",(_xlfn.IFS(L92&gt;=15000,VLOOKUP(AW95,$BE$5:$BH$15,4),L92&gt;=4000,VLOOKUP(AW95,$BE$5:$BH$15,3),L92&gt;=100,VLOOKUP(AW95,$BE$5:$BH$15,2))))</f>
        <v/>
      </c>
      <c r="L92" t="str">
        <f t="shared" ca="1" si="30"/>
        <v/>
      </c>
      <c r="AF92" s="1">
        <f t="shared" ca="1" si="34"/>
        <v>5</v>
      </c>
      <c r="AG92" s="1">
        <f t="shared" ca="1" si="34"/>
        <v>7</v>
      </c>
      <c r="AH92" s="1">
        <f t="shared" ca="1" si="35"/>
        <v>23</v>
      </c>
      <c r="AI92" s="1">
        <f t="shared" ca="1" si="32"/>
        <v>0.5</v>
      </c>
      <c r="AJ92" s="1">
        <f t="shared" ca="1" si="33"/>
        <v>2</v>
      </c>
      <c r="AO92" s="1">
        <f t="shared" ca="1" si="36"/>
        <v>98</v>
      </c>
      <c r="AP92" s="1">
        <f t="shared" ca="1" si="37"/>
        <v>-16</v>
      </c>
      <c r="AS92" s="1">
        <f t="shared" ca="1" si="38"/>
        <v>36</v>
      </c>
      <c r="AV92" s="1">
        <f t="shared" ca="1" si="39"/>
        <v>-73</v>
      </c>
      <c r="AW92" s="1">
        <f t="shared" ca="1" si="40"/>
        <v>7</v>
      </c>
      <c r="AX92">
        <v>18</v>
      </c>
      <c r="AY92" t="s">
        <v>34</v>
      </c>
      <c r="AZ92">
        <v>100</v>
      </c>
      <c r="BE92">
        <v>75</v>
      </c>
      <c r="BF92" t="s">
        <v>97</v>
      </c>
      <c r="BG92">
        <f t="shared" ca="1" si="41"/>
        <v>7</v>
      </c>
      <c r="BQ92">
        <v>87</v>
      </c>
      <c r="BR92" t="s">
        <v>150</v>
      </c>
      <c r="BW92">
        <v>87</v>
      </c>
      <c r="BX92" t="s">
        <v>145</v>
      </c>
      <c r="BY92">
        <v>87</v>
      </c>
      <c r="BZ92" t="s">
        <v>148</v>
      </c>
      <c r="CA92">
        <v>87</v>
      </c>
      <c r="CB92" t="s">
        <v>144</v>
      </c>
      <c r="CC92">
        <v>87</v>
      </c>
      <c r="CD92" t="s">
        <v>145</v>
      </c>
      <c r="CF92">
        <v>88</v>
      </c>
      <c r="CG92" t="s">
        <v>198</v>
      </c>
      <c r="CI92">
        <v>88</v>
      </c>
      <c r="CJ92" t="s">
        <v>230</v>
      </c>
      <c r="CL92">
        <v>88</v>
      </c>
      <c r="CM92" t="s">
        <v>257</v>
      </c>
      <c r="CO92">
        <v>88</v>
      </c>
      <c r="CP92" t="s">
        <v>301</v>
      </c>
      <c r="CR92">
        <v>88</v>
      </c>
      <c r="CS92" t="s">
        <v>330</v>
      </c>
      <c r="CU92">
        <v>88</v>
      </c>
      <c r="CV92" t="s">
        <v>341</v>
      </c>
      <c r="CX92">
        <v>88</v>
      </c>
      <c r="CY92">
        <v>3</v>
      </c>
      <c r="DA92">
        <v>88</v>
      </c>
      <c r="DB92">
        <v>4</v>
      </c>
      <c r="DD92">
        <v>88</v>
      </c>
      <c r="DE92">
        <v>6</v>
      </c>
      <c r="DG92">
        <v>88</v>
      </c>
      <c r="DH92" t="s">
        <v>429</v>
      </c>
    </row>
    <row r="93" spans="4:113" x14ac:dyDescent="0.3">
      <c r="D93" t="str">
        <f t="shared" ca="1" si="31"/>
        <v/>
      </c>
      <c r="E93" t="str" cm="1">
        <f t="array" aca="1" ref="E93" ca="1">_xlfn.IFS(D93="","",D93="Starstone", VLOOKUP($BK$4,$BK$6:$BM$11,3)*AI96*AJ96, D93 = "Tristal", VLOOKUP($BK$14,$BK$16:$BM$24,3)*AI96*AJ96, 1=1, VLOOKUP(AO96,$AX$75:$AZ$174,3)*AI96*AJ96)</f>
        <v/>
      </c>
      <c r="F93" t="str" cm="1">
        <f t="array" aca="1" ref="F93" ca="1">IF(D93="","",_xlfn.IFS(AH96&gt;5,"Normal",AND(AH96&lt;=5,$BK$28&lt;=4),VLOOKUP(AF96,$BK$29:$BN$39,2),AND(AH96&lt;=5,$BK$28&gt;=9),VLOOKUP(AF96,$BK$29:$BN$39,2), 1=1, "Normal"))</f>
        <v/>
      </c>
      <c r="G93" t="str" cm="1">
        <f t="array" aca="1" ref="G93" ca="1">IF(D93="","",_xlfn.IFS(AH96&gt;5, "Normal", AND(AH96&lt;=5, $BL$28&lt;=8, $BL$28&gt;=5), VLOOKUP(AG96,$BK$29:$BN$39,3), AND(AH96&lt;=5,$BK$28&gt;=9), VLOOKUP(AG96,$BK$29:$BN$39,3), 1=1, "Normal"))</f>
        <v/>
      </c>
      <c r="H93" t="str">
        <f t="shared" ca="1" si="28"/>
        <v/>
      </c>
      <c r="I93" t="str">
        <f t="shared" ca="1" si="29"/>
        <v/>
      </c>
      <c r="K93" t="str" cm="1">
        <f t="array" aca="1" ref="K93" ca="1">IF(L93="","",(_xlfn.IFS(L93&gt;=15000,VLOOKUP(AW96,$BE$5:$BH$15,4),L93&gt;=4000,VLOOKUP(AW96,$BE$5:$BH$15,3),L93&gt;=100,VLOOKUP(AW96,$BE$5:$BH$15,2))))</f>
        <v/>
      </c>
      <c r="L93" t="str">
        <f t="shared" ca="1" si="30"/>
        <v/>
      </c>
      <c r="AF93" s="1">
        <f t="shared" ca="1" si="34"/>
        <v>10</v>
      </c>
      <c r="AG93" s="1">
        <f t="shared" ca="1" si="34"/>
        <v>4</v>
      </c>
      <c r="AH93" s="1">
        <f t="shared" ca="1" si="35"/>
        <v>18</v>
      </c>
      <c r="AI93" s="1">
        <f t="shared" ca="1" si="32"/>
        <v>8</v>
      </c>
      <c r="AJ93" s="1">
        <f t="shared" ca="1" si="33"/>
        <v>0.5</v>
      </c>
      <c r="AO93" s="1">
        <f t="shared" ca="1" si="36"/>
        <v>86</v>
      </c>
      <c r="AP93" s="1">
        <f t="shared" ca="1" si="37"/>
        <v>-17</v>
      </c>
      <c r="AS93" s="1">
        <f t="shared" ca="1" si="38"/>
        <v>25</v>
      </c>
      <c r="AV93" s="1">
        <f t="shared" ca="1" si="39"/>
        <v>-74</v>
      </c>
      <c r="AW93" s="1">
        <f t="shared" ca="1" si="40"/>
        <v>7</v>
      </c>
      <c r="AX93">
        <v>19</v>
      </c>
      <c r="AY93" t="s">
        <v>35</v>
      </c>
      <c r="AZ93">
        <v>100</v>
      </c>
      <c r="BE93">
        <v>76</v>
      </c>
      <c r="BF93" t="s">
        <v>98</v>
      </c>
      <c r="BG93">
        <f ca="1">RANDBETWEEN(1,10)*100</f>
        <v>600</v>
      </c>
      <c r="BQ93">
        <v>88</v>
      </c>
      <c r="BR93" t="s">
        <v>150</v>
      </c>
      <c r="BW93">
        <v>88</v>
      </c>
      <c r="BX93" t="s">
        <v>146</v>
      </c>
      <c r="BY93">
        <v>88</v>
      </c>
      <c r="BZ93" t="s">
        <v>148</v>
      </c>
      <c r="CA93">
        <v>88</v>
      </c>
      <c r="CB93" t="s">
        <v>144</v>
      </c>
      <c r="CC93">
        <v>88</v>
      </c>
      <c r="CD93" t="s">
        <v>145</v>
      </c>
      <c r="CF93">
        <v>89</v>
      </c>
      <c r="CG93" t="s">
        <v>199</v>
      </c>
      <c r="CI93">
        <v>89</v>
      </c>
      <c r="CJ93" t="s">
        <v>230</v>
      </c>
      <c r="CL93">
        <v>89</v>
      </c>
      <c r="CM93" t="s">
        <v>257</v>
      </c>
      <c r="CO93">
        <v>89</v>
      </c>
      <c r="CP93" t="s">
        <v>302</v>
      </c>
      <c r="CR93">
        <v>89</v>
      </c>
      <c r="CS93" t="s">
        <v>331</v>
      </c>
      <c r="CU93">
        <v>89</v>
      </c>
      <c r="CV93" t="s">
        <v>341</v>
      </c>
      <c r="CX93">
        <v>89</v>
      </c>
      <c r="CY93">
        <v>3</v>
      </c>
      <c r="DA93">
        <v>89</v>
      </c>
      <c r="DB93">
        <v>5</v>
      </c>
      <c r="DD93">
        <v>89</v>
      </c>
      <c r="DE93">
        <v>6</v>
      </c>
      <c r="DG93">
        <v>89</v>
      </c>
      <c r="DH93" t="s">
        <v>430</v>
      </c>
    </row>
    <row r="94" spans="4:113" x14ac:dyDescent="0.3">
      <c r="D94" t="str">
        <f t="shared" ca="1" si="31"/>
        <v/>
      </c>
      <c r="E94" t="str" cm="1">
        <f t="array" aca="1" ref="E94" ca="1">_xlfn.IFS(D94="","",D94="Starstone", VLOOKUP($BK$4,$BK$6:$BM$11,3)*AI97*AJ97, D94 = "Tristal", VLOOKUP($BK$14,$BK$16:$BM$24,3)*AI97*AJ97, 1=1, VLOOKUP(AO97,$AX$75:$AZ$174,3)*AI97*AJ97)</f>
        <v/>
      </c>
      <c r="F94" t="str" cm="1">
        <f t="array" aca="1" ref="F94" ca="1">IF(D94="","",_xlfn.IFS(AH97&gt;5,"Normal",AND(AH97&lt;=5,$BK$28&lt;=4),VLOOKUP(AF97,$BK$29:$BN$39,2),AND(AH97&lt;=5,$BK$28&gt;=9),VLOOKUP(AF97,$BK$29:$BN$39,2), 1=1, "Normal"))</f>
        <v/>
      </c>
      <c r="G94" t="str" cm="1">
        <f t="array" aca="1" ref="G94" ca="1">IF(D94="","",_xlfn.IFS(AH97&gt;5, "Normal", AND(AH97&lt;=5, $BL$28&lt;=8, $BL$28&gt;=5), VLOOKUP(AG97,$BK$29:$BN$39,3), AND(AH97&lt;=5,$BK$28&gt;=9), VLOOKUP(AG97,$BK$29:$BN$39,3), 1=1, "Normal"))</f>
        <v/>
      </c>
      <c r="H94" t="str">
        <f t="shared" ca="1" si="28"/>
        <v/>
      </c>
      <c r="I94" t="str">
        <f t="shared" ca="1" si="29"/>
        <v/>
      </c>
      <c r="K94" t="str" cm="1">
        <f t="array" aca="1" ref="K94" ca="1">IF(L94="","",(_xlfn.IFS(L94&gt;=15000,VLOOKUP(AW97,$BE$5:$BH$15,4),L94&gt;=4000,VLOOKUP(AW97,$BE$5:$BH$15,3),L94&gt;=100,VLOOKUP(AW97,$BE$5:$BH$15,2))))</f>
        <v/>
      </c>
      <c r="L94" t="str">
        <f t="shared" ca="1" si="30"/>
        <v/>
      </c>
      <c r="AF94" s="1">
        <f t="shared" ca="1" si="34"/>
        <v>3</v>
      </c>
      <c r="AG94" s="1">
        <f t="shared" ca="1" si="34"/>
        <v>2</v>
      </c>
      <c r="AH94" s="1">
        <f t="shared" ca="1" si="35"/>
        <v>93</v>
      </c>
      <c r="AI94" s="1">
        <f t="shared" ca="1" si="32"/>
        <v>0.25</v>
      </c>
      <c r="AJ94" s="1">
        <f t="shared" ca="1" si="33"/>
        <v>0.25</v>
      </c>
      <c r="AO94" s="1">
        <f t="shared" ca="1" si="36"/>
        <v>73</v>
      </c>
      <c r="AP94" s="1">
        <f t="shared" ca="1" si="37"/>
        <v>-18</v>
      </c>
      <c r="AS94" s="1">
        <f t="shared" ca="1" si="38"/>
        <v>49</v>
      </c>
      <c r="AV94" s="1">
        <f t="shared" ca="1" si="39"/>
        <v>-75</v>
      </c>
      <c r="AW94" s="1">
        <f t="shared" ca="1" si="40"/>
        <v>7</v>
      </c>
      <c r="AX94">
        <v>20</v>
      </c>
      <c r="AY94" t="s">
        <v>36</v>
      </c>
      <c r="AZ94">
        <v>100</v>
      </c>
      <c r="BE94">
        <v>77</v>
      </c>
      <c r="BF94" t="s">
        <v>98</v>
      </c>
      <c r="BG94">
        <f t="shared" ref="BG94:BG102" ca="1" si="42">RANDBETWEEN(1,10)*100</f>
        <v>800</v>
      </c>
      <c r="BQ94">
        <v>89</v>
      </c>
      <c r="BR94" t="s">
        <v>150</v>
      </c>
      <c r="BW94">
        <v>89</v>
      </c>
      <c r="BX94" t="s">
        <v>146</v>
      </c>
      <c r="BY94">
        <v>89</v>
      </c>
      <c r="BZ94" t="s">
        <v>148</v>
      </c>
      <c r="CA94">
        <v>89</v>
      </c>
      <c r="CB94" t="s">
        <v>144</v>
      </c>
      <c r="CC94">
        <v>89</v>
      </c>
      <c r="CD94" t="s">
        <v>145</v>
      </c>
      <c r="CF94">
        <v>90</v>
      </c>
      <c r="CG94" t="s">
        <v>199</v>
      </c>
      <c r="CI94">
        <v>90</v>
      </c>
      <c r="CJ94" t="s">
        <v>230</v>
      </c>
      <c r="CL94">
        <v>90</v>
      </c>
      <c r="CM94" t="s">
        <v>257</v>
      </c>
      <c r="CO94">
        <v>90</v>
      </c>
      <c r="CP94" t="s">
        <v>302</v>
      </c>
      <c r="CR94">
        <v>90</v>
      </c>
      <c r="CS94" t="s">
        <v>331</v>
      </c>
      <c r="CU94">
        <v>90</v>
      </c>
      <c r="CV94" t="s">
        <v>341</v>
      </c>
      <c r="CX94">
        <v>90</v>
      </c>
      <c r="CY94">
        <v>3</v>
      </c>
      <c r="DA94">
        <v>90</v>
      </c>
      <c r="DB94">
        <v>5</v>
      </c>
      <c r="DD94">
        <v>90</v>
      </c>
      <c r="DE94">
        <v>6</v>
      </c>
      <c r="DG94">
        <v>90</v>
      </c>
      <c r="DH94" t="s">
        <v>150</v>
      </c>
    </row>
    <row r="95" spans="4:113" x14ac:dyDescent="0.3">
      <c r="D95" t="str">
        <f t="shared" ca="1" si="31"/>
        <v/>
      </c>
      <c r="E95" t="str" cm="1">
        <f t="array" aca="1" ref="E95" ca="1">_xlfn.IFS(D95="","",D95="Starstone", VLOOKUP($BK$4,$BK$6:$BM$11,3)*AI98*AJ98, D95 = "Tristal", VLOOKUP($BK$14,$BK$16:$BM$24,3)*AI98*AJ98, 1=1, VLOOKUP(AO98,$AX$75:$AZ$174,3)*AI98*AJ98)</f>
        <v/>
      </c>
      <c r="F95" t="str" cm="1">
        <f t="array" aca="1" ref="F95" ca="1">IF(D95="","",_xlfn.IFS(AH98&gt;5,"Normal",AND(AH98&lt;=5,$BK$28&lt;=4),VLOOKUP(AF98,$BK$29:$BN$39,2),AND(AH98&lt;=5,$BK$28&gt;=9),VLOOKUP(AF98,$BK$29:$BN$39,2), 1=1, "Normal"))</f>
        <v/>
      </c>
      <c r="G95" t="str" cm="1">
        <f t="array" aca="1" ref="G95" ca="1">IF(D95="","",_xlfn.IFS(AH98&gt;5, "Normal", AND(AH98&lt;=5, $BL$28&lt;=8, $BL$28&gt;=5), VLOOKUP(AG98,$BK$29:$BN$39,3), AND(AH98&lt;=5,$BK$28&gt;=9), VLOOKUP(AG98,$BK$29:$BN$39,3), 1=1, "Normal"))</f>
        <v/>
      </c>
      <c r="H95" t="str">
        <f t="shared" ca="1" si="28"/>
        <v/>
      </c>
      <c r="I95" t="str">
        <f t="shared" ca="1" si="29"/>
        <v/>
      </c>
      <c r="K95" t="str" cm="1">
        <f t="array" aca="1" ref="K95" ca="1">IF(L95="","",(_xlfn.IFS(L95&gt;=15000,VLOOKUP(AW98,$BE$5:$BH$15,4),L95&gt;=4000,VLOOKUP(AW98,$BE$5:$BH$15,3),L95&gt;=100,VLOOKUP(AW98,$BE$5:$BH$15,2))))</f>
        <v/>
      </c>
      <c r="L95" t="str">
        <f t="shared" ca="1" si="30"/>
        <v/>
      </c>
      <c r="AF95" s="1">
        <f t="shared" ca="1" si="34"/>
        <v>9</v>
      </c>
      <c r="AG95" s="1">
        <f t="shared" ca="1" si="34"/>
        <v>1</v>
      </c>
      <c r="AH95" s="1">
        <f t="shared" ca="1" si="35"/>
        <v>68</v>
      </c>
      <c r="AI95" s="1">
        <f t="shared" ca="1" si="32"/>
        <v>4</v>
      </c>
      <c r="AJ95" s="1">
        <f t="shared" ca="1" si="33"/>
        <v>0.125</v>
      </c>
      <c r="AO95" s="1">
        <f t="shared" ca="1" si="36"/>
        <v>58</v>
      </c>
      <c r="AP95" s="1">
        <f t="shared" ca="1" si="37"/>
        <v>-19</v>
      </c>
      <c r="AS95" s="1">
        <f t="shared" ca="1" si="38"/>
        <v>92</v>
      </c>
      <c r="AV95" s="1">
        <f t="shared" ca="1" si="39"/>
        <v>-76</v>
      </c>
      <c r="AW95" s="1">
        <f t="shared" ca="1" si="40"/>
        <v>7</v>
      </c>
      <c r="AX95">
        <v>21</v>
      </c>
      <c r="AY95" t="s">
        <v>32</v>
      </c>
      <c r="AZ95">
        <v>100</v>
      </c>
      <c r="BE95">
        <v>78</v>
      </c>
      <c r="BF95" t="s">
        <v>98</v>
      </c>
      <c r="BG95">
        <f t="shared" ca="1" si="42"/>
        <v>700</v>
      </c>
      <c r="BQ95">
        <v>90</v>
      </c>
      <c r="BR95" t="s">
        <v>150</v>
      </c>
      <c r="BW95">
        <v>90</v>
      </c>
      <c r="BX95" t="s">
        <v>146</v>
      </c>
      <c r="BY95">
        <v>90</v>
      </c>
      <c r="BZ95" t="s">
        <v>148</v>
      </c>
      <c r="CA95">
        <v>90</v>
      </c>
      <c r="CB95" t="s">
        <v>144</v>
      </c>
      <c r="CC95">
        <v>90</v>
      </c>
      <c r="CD95" t="s">
        <v>145</v>
      </c>
      <c r="CF95">
        <v>91</v>
      </c>
      <c r="CG95" t="s">
        <v>200</v>
      </c>
      <c r="CI95">
        <v>91</v>
      </c>
      <c r="CJ95" t="s">
        <v>230</v>
      </c>
      <c r="CL95">
        <v>91</v>
      </c>
      <c r="CM95" t="s">
        <v>257</v>
      </c>
      <c r="CO95">
        <v>91</v>
      </c>
      <c r="CP95" t="s">
        <v>302</v>
      </c>
      <c r="CR95">
        <v>91</v>
      </c>
      <c r="CS95" t="s">
        <v>332</v>
      </c>
      <c r="CU95">
        <v>91</v>
      </c>
      <c r="CV95" t="s">
        <v>341</v>
      </c>
      <c r="CX95">
        <v>91</v>
      </c>
      <c r="CY95">
        <v>3</v>
      </c>
      <c r="DA95">
        <v>91</v>
      </c>
      <c r="DB95">
        <v>5</v>
      </c>
      <c r="DD95">
        <v>91</v>
      </c>
      <c r="DE95">
        <v>6</v>
      </c>
      <c r="DG95">
        <v>91</v>
      </c>
      <c r="DH95" t="s">
        <v>431</v>
      </c>
      <c r="DI95">
        <v>7</v>
      </c>
    </row>
    <row r="96" spans="4:113" x14ac:dyDescent="0.3">
      <c r="D96" t="str">
        <f t="shared" ca="1" si="31"/>
        <v/>
      </c>
      <c r="E96" t="str" cm="1">
        <f t="array" aca="1" ref="E96" ca="1">_xlfn.IFS(D96="","",D96="Starstone", VLOOKUP($BK$4,$BK$6:$BM$11,3)*AI99*AJ99, D96 = "Tristal", VLOOKUP($BK$14,$BK$16:$BM$24,3)*AI99*AJ99, 1=1, VLOOKUP(AO99,$AX$75:$AZ$174,3)*AI99*AJ99)</f>
        <v/>
      </c>
      <c r="F96" t="str" cm="1">
        <f t="array" aca="1" ref="F96" ca="1">IF(D96="","",_xlfn.IFS(AH99&gt;5,"Normal",AND(AH99&lt;=5,$BK$28&lt;=4),VLOOKUP(AF99,$BK$29:$BN$39,2),AND(AH99&lt;=5,$BK$28&gt;=9),VLOOKUP(AF99,$BK$29:$BN$39,2), 1=1, "Normal"))</f>
        <v/>
      </c>
      <c r="G96" t="str" cm="1">
        <f t="array" aca="1" ref="G96" ca="1">IF(D96="","",_xlfn.IFS(AH99&gt;5, "Normal", AND(AH99&lt;=5, $BL$28&lt;=8, $BL$28&gt;=5), VLOOKUP(AG99,$BK$29:$BN$39,3), AND(AH99&lt;=5,$BK$28&gt;=9), VLOOKUP(AG99,$BK$29:$BN$39,3), 1=1, "Normal"))</f>
        <v/>
      </c>
      <c r="H96" t="str">
        <f t="shared" ca="1" si="28"/>
        <v/>
      </c>
      <c r="I96" t="str">
        <f t="shared" ca="1" si="29"/>
        <v/>
      </c>
      <c r="K96" t="str" cm="1">
        <f t="array" aca="1" ref="K96" ca="1">IF(L96="","",(_xlfn.IFS(L96&gt;=15000,VLOOKUP(AW99,$BE$5:$BH$15,4),L96&gt;=4000,VLOOKUP(AW99,$BE$5:$BH$15,3),L96&gt;=100,VLOOKUP(AW99,$BE$5:$BH$15,2))))</f>
        <v/>
      </c>
      <c r="L96" t="str">
        <f t="shared" ca="1" si="30"/>
        <v/>
      </c>
      <c r="AF96" s="1">
        <f t="shared" ca="1" si="34"/>
        <v>8</v>
      </c>
      <c r="AG96" s="1">
        <f t="shared" ca="1" si="34"/>
        <v>7</v>
      </c>
      <c r="AH96" s="1">
        <f t="shared" ca="1" si="35"/>
        <v>21</v>
      </c>
      <c r="AI96" s="1">
        <f t="shared" ca="1" si="32"/>
        <v>4</v>
      </c>
      <c r="AJ96" s="1">
        <f t="shared" ca="1" si="33"/>
        <v>2</v>
      </c>
      <c r="AO96" s="1">
        <f t="shared" ca="1" si="36"/>
        <v>5</v>
      </c>
      <c r="AP96" s="1">
        <f t="shared" ca="1" si="37"/>
        <v>-20</v>
      </c>
      <c r="AS96" s="1">
        <f t="shared" ca="1" si="38"/>
        <v>61</v>
      </c>
      <c r="AV96" s="1">
        <f t="shared" ca="1" si="39"/>
        <v>-77</v>
      </c>
      <c r="AW96" s="1">
        <f t="shared" ca="1" si="40"/>
        <v>7</v>
      </c>
      <c r="AX96">
        <v>22</v>
      </c>
      <c r="AY96" t="s">
        <v>33</v>
      </c>
      <c r="AZ96">
        <v>100</v>
      </c>
      <c r="BE96">
        <v>79</v>
      </c>
      <c r="BF96" t="s">
        <v>98</v>
      </c>
      <c r="BG96">
        <f t="shared" ca="1" si="42"/>
        <v>600</v>
      </c>
      <c r="BQ96">
        <v>91</v>
      </c>
      <c r="BR96" t="s">
        <v>150</v>
      </c>
      <c r="BW96">
        <v>91</v>
      </c>
      <c r="BX96" t="s">
        <v>146</v>
      </c>
      <c r="BY96">
        <v>91</v>
      </c>
      <c r="BZ96" t="s">
        <v>148</v>
      </c>
      <c r="CA96">
        <v>91</v>
      </c>
      <c r="CB96" t="s">
        <v>144</v>
      </c>
      <c r="CC96">
        <v>91</v>
      </c>
      <c r="CD96" t="s">
        <v>145</v>
      </c>
      <c r="CF96">
        <v>92</v>
      </c>
      <c r="CG96" t="s">
        <v>200</v>
      </c>
      <c r="CI96">
        <v>92</v>
      </c>
      <c r="CJ96" t="s">
        <v>231</v>
      </c>
      <c r="CL96">
        <v>92</v>
      </c>
      <c r="CM96" t="s">
        <v>257</v>
      </c>
      <c r="CO96">
        <v>92</v>
      </c>
      <c r="CP96" t="s">
        <v>303</v>
      </c>
      <c r="CR96">
        <v>92</v>
      </c>
      <c r="CS96" t="s">
        <v>333</v>
      </c>
      <c r="CU96">
        <v>92</v>
      </c>
      <c r="CV96" t="s">
        <v>341</v>
      </c>
      <c r="CX96">
        <v>92</v>
      </c>
      <c r="CY96">
        <v>3</v>
      </c>
      <c r="DA96">
        <v>92</v>
      </c>
      <c r="DB96">
        <v>5</v>
      </c>
      <c r="DD96">
        <v>92</v>
      </c>
      <c r="DE96">
        <v>7</v>
      </c>
      <c r="DG96">
        <v>92</v>
      </c>
      <c r="DH96" t="s">
        <v>432</v>
      </c>
      <c r="DI96">
        <v>8</v>
      </c>
    </row>
    <row r="97" spans="4:113" x14ac:dyDescent="0.3">
      <c r="D97" t="str">
        <f t="shared" ca="1" si="31"/>
        <v/>
      </c>
      <c r="E97" t="str" cm="1">
        <f t="array" aca="1" ref="E97" ca="1">_xlfn.IFS(D97="","",D97="Starstone", VLOOKUP($BK$4,$BK$6:$BM$11,3)*AI100*AJ100, D97 = "Tristal", VLOOKUP($BK$14,$BK$16:$BM$24,3)*AI100*AJ100, 1=1, VLOOKUP(AO100,$AX$75:$AZ$174,3)*AI100*AJ100)</f>
        <v/>
      </c>
      <c r="F97" t="str" cm="1">
        <f t="array" aca="1" ref="F97" ca="1">IF(D97="","",_xlfn.IFS(AH100&gt;5,"Normal",AND(AH100&lt;=5,$BK$28&lt;=4),VLOOKUP(AF100,$BK$29:$BN$39,2),AND(AH100&lt;=5,$BK$28&gt;=9),VLOOKUP(AF100,$BK$29:$BN$39,2), 1=1, "Normal"))</f>
        <v/>
      </c>
      <c r="G97" t="str" cm="1">
        <f t="array" aca="1" ref="G97" ca="1">IF(D97="","",_xlfn.IFS(AH100&gt;5, "Normal", AND(AH100&lt;=5, $BL$28&lt;=8, $BL$28&gt;=5), VLOOKUP(AG100,$BK$29:$BN$39,3), AND(AH100&lt;=5,$BK$28&gt;=9), VLOOKUP(AG100,$BK$29:$BN$39,3), 1=1, "Normal"))</f>
        <v/>
      </c>
      <c r="H97" t="str">
        <f t="shared" ca="1" si="28"/>
        <v/>
      </c>
      <c r="I97" t="str">
        <f t="shared" ca="1" si="29"/>
        <v/>
      </c>
      <c r="K97" t="str" cm="1">
        <f t="array" aca="1" ref="K97" ca="1">IF(L97="","",(_xlfn.IFS(L97&gt;=15000,VLOOKUP(AW100,$BE$5:$BH$15,4),L97&gt;=4000,VLOOKUP(AW100,$BE$5:$BH$15,3),L97&gt;=100,VLOOKUP(AW100,$BE$5:$BH$15,2))))</f>
        <v/>
      </c>
      <c r="L97" t="str">
        <f t="shared" ca="1" si="30"/>
        <v/>
      </c>
      <c r="AF97" s="1">
        <f t="shared" ca="1" si="34"/>
        <v>3</v>
      </c>
      <c r="AG97" s="1">
        <f t="shared" ca="1" si="34"/>
        <v>5</v>
      </c>
      <c r="AH97" s="1">
        <f t="shared" ca="1" si="35"/>
        <v>30</v>
      </c>
      <c r="AI97" s="1">
        <f t="shared" ca="1" si="32"/>
        <v>0.25</v>
      </c>
      <c r="AJ97" s="1">
        <f t="shared" ca="1" si="33"/>
        <v>0.5</v>
      </c>
      <c r="AO97" s="1">
        <f t="shared" ca="1" si="36"/>
        <v>97</v>
      </c>
      <c r="AP97" s="1">
        <f t="shared" ca="1" si="37"/>
        <v>-21</v>
      </c>
      <c r="AS97" s="1">
        <f t="shared" ca="1" si="38"/>
        <v>10</v>
      </c>
      <c r="AV97" s="1">
        <f t="shared" ca="1" si="39"/>
        <v>-78</v>
      </c>
      <c r="AW97" s="1">
        <f t="shared" ca="1" si="40"/>
        <v>6</v>
      </c>
      <c r="AX97">
        <v>23</v>
      </c>
      <c r="AY97" t="s">
        <v>34</v>
      </c>
      <c r="AZ97">
        <v>100</v>
      </c>
      <c r="BE97">
        <v>80</v>
      </c>
      <c r="BF97" t="s">
        <v>98</v>
      </c>
      <c r="BG97">
        <f t="shared" ca="1" si="42"/>
        <v>400</v>
      </c>
      <c r="BQ97">
        <v>92</v>
      </c>
      <c r="BR97" t="s">
        <v>150</v>
      </c>
      <c r="BW97">
        <v>92</v>
      </c>
      <c r="BX97" t="s">
        <v>76</v>
      </c>
      <c r="BY97">
        <v>92</v>
      </c>
      <c r="BZ97" t="s">
        <v>148</v>
      </c>
      <c r="CA97">
        <v>92</v>
      </c>
      <c r="CB97" t="s">
        <v>144</v>
      </c>
      <c r="CC97">
        <v>92</v>
      </c>
      <c r="CD97" t="s">
        <v>145</v>
      </c>
      <c r="CF97">
        <v>93</v>
      </c>
      <c r="CG97" t="s">
        <v>200</v>
      </c>
      <c r="CI97">
        <v>93</v>
      </c>
      <c r="CJ97" t="s">
        <v>231</v>
      </c>
      <c r="CL97">
        <v>93</v>
      </c>
      <c r="CM97" t="s">
        <v>257</v>
      </c>
      <c r="CO97">
        <v>93</v>
      </c>
      <c r="CP97" t="s">
        <v>304</v>
      </c>
      <c r="CR97">
        <v>93</v>
      </c>
      <c r="CS97" t="s">
        <v>334</v>
      </c>
      <c r="CU97">
        <v>93</v>
      </c>
      <c r="CV97" t="s">
        <v>341</v>
      </c>
      <c r="CX97">
        <v>93</v>
      </c>
      <c r="CY97">
        <v>3</v>
      </c>
      <c r="DA97">
        <v>93</v>
      </c>
      <c r="DB97">
        <v>5</v>
      </c>
      <c r="DD97">
        <v>93</v>
      </c>
      <c r="DE97">
        <v>7</v>
      </c>
      <c r="DG97">
        <v>93</v>
      </c>
      <c r="DH97" t="s">
        <v>433</v>
      </c>
    </row>
    <row r="98" spans="4:113" x14ac:dyDescent="0.3">
      <c r="D98" t="str">
        <f t="shared" ca="1" si="31"/>
        <v/>
      </c>
      <c r="E98" t="str" cm="1">
        <f t="array" aca="1" ref="E98" ca="1">_xlfn.IFS(D98="","",D98="Starstone", VLOOKUP($BK$4,$BK$6:$BM$11,3)*AI101*AJ101, D98 = "Tristal", VLOOKUP($BK$14,$BK$16:$BM$24,3)*AI101*AJ101, 1=1, VLOOKUP(AO101,$AX$75:$AZ$174,3)*AI101*AJ101)</f>
        <v/>
      </c>
      <c r="F98" t="str" cm="1">
        <f t="array" aca="1" ref="F98" ca="1">IF(D98="","",_xlfn.IFS(AH101&gt;5,"Normal",AND(AH101&lt;=5,$BK$28&lt;=4),VLOOKUP(AF101,$BK$29:$BN$39,2),AND(AH101&lt;=5,$BK$28&gt;=9),VLOOKUP(AF101,$BK$29:$BN$39,2), 1=1, "Normal"))</f>
        <v/>
      </c>
      <c r="G98" t="str" cm="1">
        <f t="array" aca="1" ref="G98" ca="1">IF(D98="","",_xlfn.IFS(AH101&gt;5, "Normal", AND(AH101&lt;=5, $BL$28&lt;=8, $BL$28&gt;=5), VLOOKUP(AG101,$BK$29:$BN$39,3), AND(AH101&lt;=5,$BK$28&gt;=9), VLOOKUP(AG101,$BK$29:$BN$39,3), 1=1, "Normal"))</f>
        <v/>
      </c>
      <c r="H98" t="str">
        <f t="shared" ca="1" si="28"/>
        <v/>
      </c>
      <c r="I98" t="str">
        <f t="shared" ca="1" si="29"/>
        <v/>
      </c>
      <c r="K98" t="str" cm="1">
        <f t="array" aca="1" ref="K98" ca="1">IF(L98="","",(_xlfn.IFS(L98&gt;=15000,VLOOKUP(AW101,$BE$5:$BH$15,4),L98&gt;=4000,VLOOKUP(AW101,$BE$5:$BH$15,3),L98&gt;=100,VLOOKUP(AW101,$BE$5:$BH$15,2))))</f>
        <v/>
      </c>
      <c r="L98" t="str">
        <f t="shared" ca="1" si="30"/>
        <v/>
      </c>
      <c r="AF98" s="1">
        <f t="shared" ca="1" si="34"/>
        <v>4</v>
      </c>
      <c r="AG98" s="1">
        <f t="shared" ca="1" si="34"/>
        <v>2</v>
      </c>
      <c r="AH98" s="1">
        <f t="shared" ca="1" si="35"/>
        <v>77</v>
      </c>
      <c r="AI98" s="1">
        <f t="shared" ca="1" si="32"/>
        <v>0.5</v>
      </c>
      <c r="AJ98" s="1">
        <f t="shared" ca="1" si="33"/>
        <v>0.25</v>
      </c>
      <c r="AO98" s="1">
        <f t="shared" ca="1" si="36"/>
        <v>65</v>
      </c>
      <c r="AP98" s="1">
        <f t="shared" ca="1" si="37"/>
        <v>-22</v>
      </c>
      <c r="AS98" s="1">
        <f t="shared" ca="1" si="38"/>
        <v>91</v>
      </c>
      <c r="AV98" s="1">
        <f t="shared" ca="1" si="39"/>
        <v>-79</v>
      </c>
      <c r="AW98" s="1">
        <f t="shared" ca="1" si="40"/>
        <v>1</v>
      </c>
      <c r="AX98">
        <v>24</v>
      </c>
      <c r="AY98" t="s">
        <v>35</v>
      </c>
      <c r="AZ98">
        <v>100</v>
      </c>
      <c r="BE98">
        <v>81</v>
      </c>
      <c r="BF98" t="s">
        <v>98</v>
      </c>
      <c r="BG98">
        <f t="shared" ca="1" si="42"/>
        <v>700</v>
      </c>
      <c r="BQ98">
        <v>93</v>
      </c>
      <c r="BR98" t="s">
        <v>151</v>
      </c>
      <c r="BW98">
        <v>93</v>
      </c>
      <c r="BX98" t="s">
        <v>76</v>
      </c>
      <c r="BY98">
        <v>93</v>
      </c>
      <c r="BZ98" t="s">
        <v>148</v>
      </c>
      <c r="CA98">
        <v>93</v>
      </c>
      <c r="CB98" t="s">
        <v>144</v>
      </c>
      <c r="CC98">
        <v>93</v>
      </c>
      <c r="CD98" t="s">
        <v>145</v>
      </c>
      <c r="CF98">
        <v>94</v>
      </c>
      <c r="CG98" t="s">
        <v>201</v>
      </c>
      <c r="CI98">
        <v>94</v>
      </c>
      <c r="CJ98" t="s">
        <v>231</v>
      </c>
      <c r="CL98">
        <v>94</v>
      </c>
      <c r="CM98" t="s">
        <v>257</v>
      </c>
      <c r="CO98">
        <v>94</v>
      </c>
      <c r="CP98" t="s">
        <v>304</v>
      </c>
      <c r="CR98">
        <v>94</v>
      </c>
      <c r="CS98" t="s">
        <v>334</v>
      </c>
      <c r="CU98">
        <v>94</v>
      </c>
      <c r="CV98" t="s">
        <v>341</v>
      </c>
      <c r="CX98">
        <v>94</v>
      </c>
      <c r="CY98">
        <v>3</v>
      </c>
      <c r="DA98">
        <v>94</v>
      </c>
      <c r="DB98">
        <v>5</v>
      </c>
      <c r="DD98">
        <v>94</v>
      </c>
      <c r="DE98">
        <v>7</v>
      </c>
      <c r="DG98">
        <v>94</v>
      </c>
      <c r="DH98" t="s">
        <v>434</v>
      </c>
    </row>
    <row r="99" spans="4:113" x14ac:dyDescent="0.3">
      <c r="D99" t="str">
        <f t="shared" ca="1" si="31"/>
        <v/>
      </c>
      <c r="E99" t="str" cm="1">
        <f t="array" aca="1" ref="E99" ca="1">_xlfn.IFS(D99="","",D99="Starstone", VLOOKUP($BK$4,$BK$6:$BM$11,3)*AI102*AJ102, D99 = "Tristal", VLOOKUP($BK$14,$BK$16:$BM$24,3)*AI102*AJ102, 1=1, VLOOKUP(AO102,$AX$75:$AZ$174,3)*AI102*AJ102)</f>
        <v/>
      </c>
      <c r="F99" t="str" cm="1">
        <f t="array" aca="1" ref="F99" ca="1">IF(D99="","",_xlfn.IFS(AH102&gt;5,"Normal",AND(AH102&lt;=5,$BK$28&lt;=4),VLOOKUP(AF102,$BK$29:$BN$39,2),AND(AH102&lt;=5,$BK$28&gt;=9),VLOOKUP(AF102,$BK$29:$BN$39,2), 1=1, "Normal"))</f>
        <v/>
      </c>
      <c r="G99" t="str" cm="1">
        <f t="array" aca="1" ref="G99" ca="1">IF(D99="","",_xlfn.IFS(AH102&gt;5, "Normal", AND(AH102&lt;=5, $BL$28&lt;=8, $BL$28&gt;=5), VLOOKUP(AG102,$BK$29:$BN$39,3), AND(AH102&lt;=5,$BK$28&gt;=9), VLOOKUP(AG102,$BK$29:$BN$39,3), 1=1, "Normal"))</f>
        <v/>
      </c>
      <c r="H99" t="str">
        <f t="shared" ca="1" si="28"/>
        <v/>
      </c>
      <c r="I99" t="str">
        <f t="shared" ca="1" si="29"/>
        <v/>
      </c>
      <c r="K99" t="str" cm="1">
        <f t="array" aca="1" ref="K99" ca="1">IF(L99="","",(_xlfn.IFS(L99&gt;=15000,VLOOKUP(AW102,$BE$5:$BH$15,4),L99&gt;=4000,VLOOKUP(AW102,$BE$5:$BH$15,3),L99&gt;=100,VLOOKUP(AW102,$BE$5:$BH$15,2))))</f>
        <v/>
      </c>
      <c r="L99" t="str">
        <f t="shared" ca="1" si="30"/>
        <v/>
      </c>
      <c r="AF99" s="1">
        <f t="shared" ca="1" si="34"/>
        <v>8</v>
      </c>
      <c r="AG99" s="1">
        <f t="shared" ca="1" si="34"/>
        <v>1</v>
      </c>
      <c r="AH99" s="1">
        <f t="shared" ca="1" si="35"/>
        <v>85</v>
      </c>
      <c r="AI99" s="1">
        <f t="shared" ca="1" si="32"/>
        <v>4</v>
      </c>
      <c r="AJ99" s="1">
        <f t="shared" ca="1" si="33"/>
        <v>0.125</v>
      </c>
      <c r="AO99" s="1">
        <f t="shared" ca="1" si="36"/>
        <v>78</v>
      </c>
      <c r="AP99" s="1">
        <f t="shared" ca="1" si="37"/>
        <v>-23</v>
      </c>
      <c r="AS99" s="1">
        <f t="shared" ca="1" si="38"/>
        <v>23</v>
      </c>
      <c r="AV99" s="1">
        <f t="shared" ca="1" si="39"/>
        <v>-80</v>
      </c>
      <c r="AW99" s="1">
        <f t="shared" ca="1" si="40"/>
        <v>10</v>
      </c>
      <c r="AX99">
        <v>25</v>
      </c>
      <c r="AY99" t="s">
        <v>36</v>
      </c>
      <c r="AZ99">
        <v>100</v>
      </c>
      <c r="BE99">
        <v>82</v>
      </c>
      <c r="BF99" t="s">
        <v>98</v>
      </c>
      <c r="BG99">
        <f t="shared" ca="1" si="42"/>
        <v>600</v>
      </c>
      <c r="BQ99">
        <v>94</v>
      </c>
      <c r="BR99" t="s">
        <v>151</v>
      </c>
      <c r="BW99">
        <v>94</v>
      </c>
      <c r="BX99" t="s">
        <v>76</v>
      </c>
      <c r="BY99">
        <v>94</v>
      </c>
      <c r="BZ99" t="s">
        <v>148</v>
      </c>
      <c r="CA99">
        <v>94</v>
      </c>
      <c r="CB99" t="s">
        <v>144</v>
      </c>
      <c r="CC99">
        <v>94</v>
      </c>
      <c r="CD99" t="s">
        <v>145</v>
      </c>
      <c r="CF99">
        <v>95</v>
      </c>
      <c r="CG99" t="s">
        <v>201</v>
      </c>
      <c r="CI99">
        <v>95</v>
      </c>
      <c r="CJ99" t="s">
        <v>231</v>
      </c>
      <c r="CL99">
        <v>95</v>
      </c>
      <c r="CM99" t="s">
        <v>257</v>
      </c>
      <c r="CO99">
        <v>95</v>
      </c>
      <c r="CP99" t="s">
        <v>305</v>
      </c>
      <c r="CR99">
        <v>95</v>
      </c>
      <c r="CS99" t="s">
        <v>335</v>
      </c>
      <c r="CU99">
        <v>95</v>
      </c>
      <c r="CV99" t="s">
        <v>341</v>
      </c>
      <c r="CX99">
        <v>95</v>
      </c>
      <c r="CY99">
        <v>3</v>
      </c>
      <c r="DA99">
        <v>95</v>
      </c>
      <c r="DB99">
        <v>5</v>
      </c>
      <c r="DD99">
        <v>95</v>
      </c>
      <c r="DE99">
        <v>7</v>
      </c>
      <c r="DG99">
        <v>95</v>
      </c>
      <c r="DH99" t="s">
        <v>435</v>
      </c>
    </row>
    <row r="100" spans="4:113" x14ac:dyDescent="0.3">
      <c r="D100" t="str">
        <f t="shared" ca="1" si="31"/>
        <v/>
      </c>
      <c r="E100" t="str" cm="1">
        <f t="array" aca="1" ref="E100" ca="1">_xlfn.IFS(D100="","",D100="Starstone", VLOOKUP($BK$4,$BK$6:$BM$11,3)*AI103*AJ103, D100 = "Tristal", VLOOKUP($BK$14,$BK$16:$BM$24,3)*AI103*AJ103, 1=1, VLOOKUP(AO103,$AX$75:$AZ$174,3)*AI103*AJ103)</f>
        <v/>
      </c>
      <c r="F100" t="str" cm="1">
        <f t="array" aca="1" ref="F100" ca="1">IF(D100="","",_xlfn.IFS(AH103&gt;5,"Normal",AND(AH103&lt;=5,$BK$28&lt;=4),VLOOKUP(AF103,$BK$29:$BN$39,2),AND(AH103&lt;=5,$BK$28&gt;=9),VLOOKUP(AF103,$BK$29:$BN$39,2), 1=1, "Normal"))</f>
        <v/>
      </c>
      <c r="G100" t="str" cm="1">
        <f t="array" aca="1" ref="G100" ca="1">IF(D100="","",_xlfn.IFS(AH103&gt;5, "Normal", AND(AH103&lt;=5, $BL$28&lt;=8, $BL$28&gt;=5), VLOOKUP(AG103,$BK$29:$BN$39,3), AND(AH103&lt;=5,$BK$28&gt;=9), VLOOKUP(AG103,$BK$29:$BN$39,3), 1=1, "Normal"))</f>
        <v/>
      </c>
      <c r="H100" t="str">
        <f t="shared" ca="1" si="28"/>
        <v/>
      </c>
      <c r="I100" t="str">
        <f t="shared" ca="1" si="29"/>
        <v/>
      </c>
      <c r="K100" t="str" cm="1">
        <f t="array" aca="1" ref="K100" ca="1">IF(L100="","",(_xlfn.IFS(L100&gt;=15000,VLOOKUP(AW103,$BE$5:$BH$15,4),L100&gt;=4000,VLOOKUP(AW103,$BE$5:$BH$15,3),L100&gt;=100,VLOOKUP(AW103,$BE$5:$BH$15,2))))</f>
        <v/>
      </c>
      <c r="L100" t="str">
        <f t="shared" ca="1" si="30"/>
        <v/>
      </c>
      <c r="AF100" s="1">
        <f t="shared" ca="1" si="34"/>
        <v>1</v>
      </c>
      <c r="AG100" s="1">
        <f t="shared" ca="1" si="34"/>
        <v>5</v>
      </c>
      <c r="AH100" s="1">
        <f t="shared" ca="1" si="35"/>
        <v>90</v>
      </c>
      <c r="AI100" s="1">
        <f t="shared" ca="1" si="32"/>
        <v>0.125</v>
      </c>
      <c r="AJ100" s="1">
        <f t="shared" ca="1" si="33"/>
        <v>0.5</v>
      </c>
      <c r="AO100" s="1">
        <f t="shared" ca="1" si="36"/>
        <v>2</v>
      </c>
      <c r="AP100" s="1">
        <f t="shared" ca="1" si="37"/>
        <v>-24</v>
      </c>
      <c r="AS100" s="1">
        <f t="shared" ca="1" si="38"/>
        <v>34</v>
      </c>
      <c r="AV100" s="1">
        <f t="shared" ca="1" si="39"/>
        <v>-81</v>
      </c>
      <c r="AW100" s="1">
        <f t="shared" ca="1" si="40"/>
        <v>10</v>
      </c>
      <c r="AX100">
        <v>26</v>
      </c>
      <c r="AY100" t="s">
        <v>37</v>
      </c>
      <c r="AZ100">
        <v>500</v>
      </c>
      <c r="BE100">
        <v>83</v>
      </c>
      <c r="BF100" t="s">
        <v>98</v>
      </c>
      <c r="BG100">
        <f t="shared" ca="1" si="42"/>
        <v>700</v>
      </c>
      <c r="BQ100">
        <v>95</v>
      </c>
      <c r="BR100" t="s">
        <v>151</v>
      </c>
      <c r="BW100">
        <v>95</v>
      </c>
      <c r="BX100" t="s">
        <v>76</v>
      </c>
      <c r="BY100">
        <v>95</v>
      </c>
      <c r="BZ100" t="s">
        <v>148</v>
      </c>
      <c r="CA100">
        <v>95</v>
      </c>
      <c r="CB100" t="s">
        <v>144</v>
      </c>
      <c r="CC100">
        <v>95</v>
      </c>
      <c r="CD100" t="s">
        <v>145</v>
      </c>
      <c r="CF100">
        <v>96</v>
      </c>
      <c r="CG100" t="s">
        <v>201</v>
      </c>
      <c r="CI100">
        <v>96</v>
      </c>
      <c r="CJ100" t="s">
        <v>231</v>
      </c>
      <c r="CL100">
        <v>96</v>
      </c>
      <c r="CM100" t="s">
        <v>257</v>
      </c>
      <c r="CO100">
        <v>96</v>
      </c>
      <c r="CP100" t="s">
        <v>305</v>
      </c>
      <c r="CR100">
        <v>96</v>
      </c>
      <c r="CS100" t="s">
        <v>336</v>
      </c>
      <c r="CU100">
        <v>96</v>
      </c>
      <c r="CV100" t="s">
        <v>342</v>
      </c>
      <c r="CX100">
        <v>96</v>
      </c>
      <c r="CY100">
        <v>3</v>
      </c>
      <c r="DA100">
        <v>96</v>
      </c>
      <c r="DB100">
        <v>6</v>
      </c>
      <c r="DD100">
        <v>96</v>
      </c>
      <c r="DE100">
        <v>7</v>
      </c>
      <c r="DG100">
        <v>96</v>
      </c>
      <c r="DH100" t="s">
        <v>436</v>
      </c>
    </row>
    <row r="101" spans="4:113" x14ac:dyDescent="0.3">
      <c r="D101" t="str">
        <f t="shared" ca="1" si="31"/>
        <v/>
      </c>
      <c r="E101" t="str" cm="1">
        <f t="array" aca="1" ref="E101" ca="1">_xlfn.IFS(D101="","",D101="Starstone", VLOOKUP($BK$4,$BK$6:$BM$11,3)*AI104*AJ104, D101 = "Tristal", VLOOKUP($BK$14,$BK$16:$BM$24,3)*AI104*AJ104, 1=1, VLOOKUP(AO104,$AX$75:$AZ$174,3)*AI104*AJ104)</f>
        <v/>
      </c>
      <c r="F101" t="str" cm="1">
        <f t="array" aca="1" ref="F101" ca="1">IF(D101="","",_xlfn.IFS(AH104&gt;5,"Normal",AND(AH104&lt;=5,$BK$28&lt;=4),VLOOKUP(AF104,$BK$29:$BN$39,2),AND(AH104&lt;=5,$BK$28&gt;=9),VLOOKUP(AF104,$BK$29:$BN$39,2), 1=1, "Normal"))</f>
        <v/>
      </c>
      <c r="G101" t="str" cm="1">
        <f t="array" aca="1" ref="G101" ca="1">IF(D101="","",_xlfn.IFS(AH104&gt;5, "Normal", AND(AH104&lt;=5, $BL$28&lt;=8, $BL$28&gt;=5), VLOOKUP(AG104,$BK$29:$BN$39,3), AND(AH104&lt;=5,$BK$28&gt;=9), VLOOKUP(AG104,$BK$29:$BN$39,3), 1=1, "Normal"))</f>
        <v/>
      </c>
      <c r="H101" t="str">
        <f t="shared" ca="1" si="28"/>
        <v/>
      </c>
      <c r="I101" t="str">
        <f t="shared" ca="1" si="29"/>
        <v/>
      </c>
      <c r="K101" t="str" cm="1">
        <f t="array" aca="1" ref="K101" ca="1">IF(L101="","",(_xlfn.IFS(L101&gt;=15000,VLOOKUP(AW104,$BE$5:$BH$15,4),L101&gt;=4000,VLOOKUP(AW104,$BE$5:$BH$15,3),L101&gt;=100,VLOOKUP(AW104,$BE$5:$BH$15,2))))</f>
        <v/>
      </c>
      <c r="L101" t="str">
        <f t="shared" ca="1" si="30"/>
        <v/>
      </c>
      <c r="AF101" s="1">
        <f t="shared" ca="1" si="34"/>
        <v>5</v>
      </c>
      <c r="AG101" s="1">
        <f t="shared" ca="1" si="34"/>
        <v>5</v>
      </c>
      <c r="AH101" s="1">
        <f t="shared" ca="1" si="35"/>
        <v>21</v>
      </c>
      <c r="AI101" s="1">
        <f t="shared" ca="1" si="32"/>
        <v>0.5</v>
      </c>
      <c r="AJ101" s="1">
        <f t="shared" ca="1" si="33"/>
        <v>0.5</v>
      </c>
      <c r="AO101" s="1">
        <f t="shared" ca="1" si="36"/>
        <v>96</v>
      </c>
      <c r="AP101" s="1">
        <f t="shared" ca="1" si="37"/>
        <v>-25</v>
      </c>
      <c r="AS101" s="1">
        <f t="shared" ca="1" si="38"/>
        <v>69</v>
      </c>
      <c r="AV101" s="1">
        <f t="shared" ca="1" si="39"/>
        <v>-82</v>
      </c>
      <c r="AW101" s="1">
        <f t="shared" ca="1" si="40"/>
        <v>8</v>
      </c>
      <c r="AX101">
        <v>27</v>
      </c>
      <c r="AY101" t="s">
        <v>38</v>
      </c>
      <c r="AZ101">
        <v>500</v>
      </c>
      <c r="BE101">
        <v>84</v>
      </c>
      <c r="BF101" t="s">
        <v>98</v>
      </c>
      <c r="BG101">
        <f t="shared" ca="1" si="42"/>
        <v>900</v>
      </c>
      <c r="BQ101">
        <v>96</v>
      </c>
      <c r="BR101" t="s">
        <v>151</v>
      </c>
      <c r="BW101">
        <v>96</v>
      </c>
      <c r="BX101" t="s">
        <v>147</v>
      </c>
      <c r="BY101">
        <v>96</v>
      </c>
      <c r="BZ101" t="s">
        <v>148</v>
      </c>
      <c r="CA101">
        <v>96</v>
      </c>
      <c r="CB101" t="s">
        <v>144</v>
      </c>
      <c r="CC101">
        <v>96</v>
      </c>
      <c r="CD101" t="s">
        <v>145</v>
      </c>
      <c r="CF101">
        <v>97</v>
      </c>
      <c r="CG101" t="s">
        <v>203</v>
      </c>
      <c r="CI101">
        <v>97</v>
      </c>
      <c r="CJ101" t="s">
        <v>232</v>
      </c>
      <c r="CL101">
        <v>97</v>
      </c>
      <c r="CM101" t="s">
        <v>258</v>
      </c>
      <c r="CO101">
        <v>97</v>
      </c>
      <c r="CP101" t="s">
        <v>305</v>
      </c>
      <c r="CR101">
        <v>97</v>
      </c>
      <c r="CS101" t="s">
        <v>337</v>
      </c>
      <c r="CU101">
        <v>97</v>
      </c>
      <c r="CV101" t="s">
        <v>342</v>
      </c>
      <c r="CX101">
        <v>97</v>
      </c>
      <c r="CY101">
        <v>3</v>
      </c>
      <c r="DA101">
        <v>97</v>
      </c>
      <c r="DB101">
        <v>6</v>
      </c>
      <c r="DD101">
        <v>97</v>
      </c>
      <c r="DE101">
        <v>8</v>
      </c>
      <c r="DG101">
        <v>97</v>
      </c>
      <c r="DH101" t="s">
        <v>437</v>
      </c>
    </row>
    <row r="102" spans="4:113" x14ac:dyDescent="0.3">
      <c r="D102" t="str">
        <f t="shared" ca="1" si="31"/>
        <v/>
      </c>
      <c r="E102" t="str" cm="1">
        <f t="array" aca="1" ref="E102" ca="1">_xlfn.IFS(D102="","",D102="Starstone", VLOOKUP($BK$4,$BK$6:$BM$11,3)*AI105*AJ105, D102 = "Tristal", VLOOKUP($BK$14,$BK$16:$BM$24,3)*AI105*AJ105, 1=1, VLOOKUP(AO105,$AX$75:$AZ$174,3)*AI105*AJ105)</f>
        <v/>
      </c>
      <c r="F102" t="str" cm="1">
        <f t="array" aca="1" ref="F102" ca="1">IF(D102="","",_xlfn.IFS(AH105&gt;5,"Normal",AND(AH105&lt;=5,$BK$28&lt;=4),VLOOKUP(AF105,$BK$29:$BN$39,2),AND(AH105&lt;=5,$BK$28&gt;=9),VLOOKUP(AF105,$BK$29:$BN$39,2), 1=1, "Normal"))</f>
        <v/>
      </c>
      <c r="G102" t="str" cm="1">
        <f t="array" aca="1" ref="G102" ca="1">IF(D102="","",_xlfn.IFS(AH105&gt;5, "Normal", AND(AH105&lt;=5, $BL$28&lt;=8, $BL$28&gt;=5), VLOOKUP(AG105,$BK$29:$BN$39,3), AND(AH105&lt;=5,$BK$28&gt;=9), VLOOKUP(AG105,$BK$29:$BN$39,3), 1=1, "Normal"))</f>
        <v/>
      </c>
      <c r="H102" t="str">
        <f t="shared" ca="1" si="28"/>
        <v/>
      </c>
      <c r="I102" t="str">
        <f t="shared" ca="1" si="29"/>
        <v/>
      </c>
      <c r="K102" t="str" cm="1">
        <f t="array" aca="1" ref="K102" ca="1">IF(L102="","",(_xlfn.IFS(L102&gt;=15000,VLOOKUP(AW105,$BE$5:$BH$15,4),L102&gt;=4000,VLOOKUP(AW105,$BE$5:$BH$15,3),L102&gt;=100,VLOOKUP(AW105,$BE$5:$BH$15,2))))</f>
        <v/>
      </c>
      <c r="L102" t="str">
        <f t="shared" ca="1" si="30"/>
        <v/>
      </c>
      <c r="AF102" s="1">
        <f t="shared" ca="1" si="34"/>
        <v>1</v>
      </c>
      <c r="AG102" s="1">
        <f t="shared" ca="1" si="34"/>
        <v>2</v>
      </c>
      <c r="AH102" s="1">
        <f t="shared" ca="1" si="35"/>
        <v>9</v>
      </c>
      <c r="AI102" s="1">
        <f t="shared" ca="1" si="32"/>
        <v>0.125</v>
      </c>
      <c r="AJ102" s="1">
        <f t="shared" ca="1" si="33"/>
        <v>0.25</v>
      </c>
      <c r="AO102" s="1">
        <f t="shared" ca="1" si="36"/>
        <v>88</v>
      </c>
      <c r="AP102" s="1">
        <f t="shared" ca="1" si="37"/>
        <v>-26</v>
      </c>
      <c r="AS102" s="1">
        <f t="shared" ca="1" si="38"/>
        <v>7</v>
      </c>
      <c r="AV102" s="1">
        <f t="shared" ca="1" si="39"/>
        <v>-83</v>
      </c>
      <c r="AW102" s="1">
        <f t="shared" ca="1" si="40"/>
        <v>5</v>
      </c>
      <c r="AX102">
        <v>28</v>
      </c>
      <c r="AY102" t="s">
        <v>39</v>
      </c>
      <c r="AZ102">
        <v>500</v>
      </c>
      <c r="BE102">
        <v>85</v>
      </c>
      <c r="BF102" t="s">
        <v>98</v>
      </c>
      <c r="BG102">
        <f t="shared" ca="1" si="42"/>
        <v>900</v>
      </c>
      <c r="BQ102">
        <v>97</v>
      </c>
      <c r="BR102" t="s">
        <v>151</v>
      </c>
      <c r="BW102">
        <v>97</v>
      </c>
      <c r="BX102" t="s">
        <v>147</v>
      </c>
      <c r="BY102">
        <v>97</v>
      </c>
      <c r="BZ102" t="s">
        <v>148</v>
      </c>
      <c r="CA102">
        <v>97</v>
      </c>
      <c r="CB102" t="s">
        <v>144</v>
      </c>
      <c r="CC102">
        <v>97</v>
      </c>
      <c r="CD102" t="s">
        <v>145</v>
      </c>
      <c r="CF102">
        <v>98</v>
      </c>
      <c r="CG102" t="s">
        <v>202</v>
      </c>
      <c r="CI102">
        <v>98</v>
      </c>
      <c r="CJ102" t="s">
        <v>232</v>
      </c>
      <c r="CL102">
        <v>98</v>
      </c>
      <c r="CM102" t="s">
        <v>258</v>
      </c>
      <c r="CO102">
        <v>98</v>
      </c>
      <c r="CP102" t="s">
        <v>306</v>
      </c>
      <c r="CR102">
        <v>98</v>
      </c>
      <c r="CS102" t="s">
        <v>337</v>
      </c>
      <c r="CU102">
        <v>98</v>
      </c>
      <c r="CV102" t="s">
        <v>342</v>
      </c>
      <c r="CX102">
        <v>98</v>
      </c>
      <c r="CY102">
        <v>3</v>
      </c>
      <c r="DA102">
        <v>98</v>
      </c>
      <c r="DB102">
        <v>6</v>
      </c>
      <c r="DD102">
        <v>98</v>
      </c>
      <c r="DE102">
        <v>8</v>
      </c>
      <c r="DG102">
        <v>98</v>
      </c>
      <c r="DH102" t="s">
        <v>438</v>
      </c>
    </row>
    <row r="103" spans="4:113" x14ac:dyDescent="0.3">
      <c r="D103" t="str">
        <f t="shared" ca="1" si="31"/>
        <v/>
      </c>
      <c r="E103" t="str" cm="1">
        <f t="array" aca="1" ref="E103" ca="1">_xlfn.IFS(D103="","",D103="Starstone", VLOOKUP($BK$4,$BK$6:$BM$11,3)*AI106*AJ106, D103 = "Tristal", VLOOKUP($BK$14,$BK$16:$BM$24,3)*AI106*AJ106, 1=1, VLOOKUP(AO106,$AX$75:$AZ$174,3)*AI106*AJ106)</f>
        <v/>
      </c>
      <c r="F103" t="str" cm="1">
        <f t="array" aca="1" ref="F103" ca="1">IF(D103="","",_xlfn.IFS(AH106&gt;5,"Normal",AND(AH106&lt;=5,$BK$28&lt;=4),VLOOKUP(AF106,$BK$29:$BN$39,2),AND(AH106&lt;=5,$BK$28&gt;=9),VLOOKUP(AF106,$BK$29:$BN$39,2), 1=1, "Normal"))</f>
        <v/>
      </c>
      <c r="G103" t="str" cm="1">
        <f t="array" aca="1" ref="G103" ca="1">IF(D103="","",_xlfn.IFS(AH106&gt;5, "Normal", AND(AH106&lt;=5, $BL$28&lt;=8, $BL$28&gt;=5), VLOOKUP(AG106,$BK$29:$BN$39,3), AND(AH106&lt;=5,$BK$28&gt;=9), VLOOKUP(AG106,$BK$29:$BN$39,3), 1=1, "Normal"))</f>
        <v/>
      </c>
      <c r="H103" t="str">
        <f t="shared" ca="1" si="28"/>
        <v/>
      </c>
      <c r="I103" t="str">
        <f t="shared" ca="1" si="29"/>
        <v/>
      </c>
      <c r="K103" t="str" cm="1">
        <f t="array" aca="1" ref="K103" ca="1">IF(L103="","",(_xlfn.IFS(L103&gt;=15000,VLOOKUP(AW106,$BE$5:$BH$15,4),L103&gt;=4000,VLOOKUP(AW106,$BE$5:$BH$15,3),L103&gt;=100,VLOOKUP(AW106,$BE$5:$BH$15,2))))</f>
        <v/>
      </c>
      <c r="L103" t="str">
        <f t="shared" ca="1" si="30"/>
        <v/>
      </c>
      <c r="AF103" s="1">
        <f t="shared" ca="1" si="34"/>
        <v>5</v>
      </c>
      <c r="AG103" s="1">
        <f t="shared" ca="1" si="34"/>
        <v>1</v>
      </c>
      <c r="AH103" s="1">
        <f t="shared" ca="1" si="35"/>
        <v>45</v>
      </c>
      <c r="AI103" s="1">
        <f t="shared" ca="1" si="32"/>
        <v>0.5</v>
      </c>
      <c r="AJ103" s="1">
        <f t="shared" ca="1" si="33"/>
        <v>0.125</v>
      </c>
      <c r="AO103" s="1">
        <f t="shared" ca="1" si="36"/>
        <v>69</v>
      </c>
      <c r="AP103" s="1">
        <f t="shared" ca="1" si="37"/>
        <v>-27</v>
      </c>
      <c r="AS103" s="1">
        <f t="shared" ca="1" si="38"/>
        <v>25</v>
      </c>
      <c r="AV103" s="1">
        <f t="shared" ca="1" si="39"/>
        <v>-84</v>
      </c>
      <c r="AW103" s="1">
        <f t="shared" ca="1" si="40"/>
        <v>8</v>
      </c>
      <c r="AX103">
        <v>29</v>
      </c>
      <c r="AY103" t="s">
        <v>37</v>
      </c>
      <c r="AZ103">
        <v>500</v>
      </c>
      <c r="BE103">
        <v>86</v>
      </c>
      <c r="BF103" t="s">
        <v>99</v>
      </c>
      <c r="BG103" t="s">
        <v>107</v>
      </c>
      <c r="BQ103">
        <v>98</v>
      </c>
      <c r="BR103" t="s">
        <v>151</v>
      </c>
      <c r="BW103">
        <v>98</v>
      </c>
      <c r="BX103" t="s">
        <v>147</v>
      </c>
      <c r="BY103">
        <v>98</v>
      </c>
      <c r="BZ103" t="s">
        <v>148</v>
      </c>
      <c r="CA103">
        <v>98</v>
      </c>
      <c r="CB103" t="s">
        <v>144</v>
      </c>
      <c r="CC103">
        <v>98</v>
      </c>
      <c r="CD103" t="s">
        <v>145</v>
      </c>
      <c r="CF103">
        <v>99</v>
      </c>
      <c r="CG103" t="s">
        <v>204</v>
      </c>
      <c r="CI103">
        <v>99</v>
      </c>
      <c r="CJ103" t="s">
        <v>233</v>
      </c>
      <c r="CL103">
        <v>99</v>
      </c>
      <c r="CM103" t="s">
        <v>227</v>
      </c>
      <c r="CO103">
        <v>99</v>
      </c>
      <c r="CP103" t="s">
        <v>307</v>
      </c>
      <c r="CR103">
        <v>99</v>
      </c>
      <c r="CS103" t="s">
        <v>337</v>
      </c>
      <c r="CU103">
        <v>99</v>
      </c>
      <c r="CV103" t="s">
        <v>342</v>
      </c>
      <c r="CX103">
        <v>99</v>
      </c>
      <c r="CY103">
        <v>3</v>
      </c>
      <c r="DA103">
        <v>99</v>
      </c>
      <c r="DB103">
        <v>6</v>
      </c>
      <c r="DD103">
        <v>99</v>
      </c>
      <c r="DE103">
        <v>8</v>
      </c>
      <c r="DG103">
        <v>99</v>
      </c>
      <c r="DH103" t="s">
        <v>439</v>
      </c>
    </row>
    <row r="104" spans="4:113" x14ac:dyDescent="0.3">
      <c r="D104" t="str">
        <f t="shared" ca="1" si="31"/>
        <v/>
      </c>
      <c r="E104" t="str" cm="1">
        <f t="array" aca="1" ref="E104" ca="1">_xlfn.IFS(D104="","",D104="Starstone", VLOOKUP($BK$4,$BK$6:$BM$11,3)*AI107*AJ107, D104 = "Tristal", VLOOKUP($BK$14,$BK$16:$BM$24,3)*AI107*AJ107, 1=1, VLOOKUP(AO107,$AX$75:$AZ$174,3)*AI107*AJ107)</f>
        <v/>
      </c>
      <c r="F104" t="str" cm="1">
        <f t="array" aca="1" ref="F104" ca="1">IF(D104="","",_xlfn.IFS(AH107&gt;5,"Normal",AND(AH107&lt;=5,$BK$28&lt;=4),VLOOKUP(AF107,$BK$29:$BN$39,2),AND(AH107&lt;=5,$BK$28&gt;=9),VLOOKUP(AF107,$BK$29:$BN$39,2), 1=1, "Normal"))</f>
        <v/>
      </c>
      <c r="G104" t="str" cm="1">
        <f t="array" aca="1" ref="G104" ca="1">IF(D104="","",_xlfn.IFS(AH107&gt;5, "Normal", AND(AH107&lt;=5, $BL$28&lt;=8, $BL$28&gt;=5), VLOOKUP(AG107,$BK$29:$BN$39,3), AND(AH107&lt;=5,$BK$28&gt;=9), VLOOKUP(AG107,$BK$29:$BN$39,3), 1=1, "Normal"))</f>
        <v/>
      </c>
      <c r="H104" t="str">
        <f t="shared" ca="1" si="28"/>
        <v/>
      </c>
      <c r="I104" t="str">
        <f t="shared" ca="1" si="29"/>
        <v/>
      </c>
      <c r="K104" t="str" cm="1">
        <f t="array" aca="1" ref="K104" ca="1">IF(L104="","",(_xlfn.IFS(L104&gt;=15000,VLOOKUP(AW107,$BE$5:$BH$15,4),L104&gt;=4000,VLOOKUP(AW107,$BE$5:$BH$15,3),L104&gt;=100,VLOOKUP(AW107,$BE$5:$BH$15,2))))</f>
        <v/>
      </c>
      <c r="L104" t="str">
        <f t="shared" ca="1" si="30"/>
        <v/>
      </c>
      <c r="AF104" s="1">
        <f t="shared" ca="1" si="34"/>
        <v>9</v>
      </c>
      <c r="AG104" s="1">
        <f t="shared" ca="1" si="34"/>
        <v>3</v>
      </c>
      <c r="AH104" s="1">
        <f t="shared" ca="1" si="35"/>
        <v>44</v>
      </c>
      <c r="AI104" s="1">
        <f t="shared" ca="1" si="32"/>
        <v>4</v>
      </c>
      <c r="AJ104" s="1">
        <f t="shared" ca="1" si="33"/>
        <v>0.25</v>
      </c>
      <c r="AO104" s="1">
        <f t="shared" ca="1" si="36"/>
        <v>41</v>
      </c>
      <c r="AP104" s="1">
        <f t="shared" ca="1" si="37"/>
        <v>-28</v>
      </c>
      <c r="AS104" s="1">
        <f t="shared" ca="1" si="38"/>
        <v>44</v>
      </c>
      <c r="AV104" s="1">
        <f t="shared" ca="1" si="39"/>
        <v>-85</v>
      </c>
      <c r="AW104" s="1">
        <f t="shared" ca="1" si="40"/>
        <v>2</v>
      </c>
      <c r="AX104">
        <v>30</v>
      </c>
      <c r="AY104" t="s">
        <v>38</v>
      </c>
      <c r="AZ104">
        <v>500</v>
      </c>
      <c r="BE104">
        <v>87</v>
      </c>
      <c r="BF104" t="s">
        <v>99</v>
      </c>
      <c r="BG104" t="s">
        <v>107</v>
      </c>
      <c r="BQ104">
        <v>99</v>
      </c>
      <c r="BR104" t="s">
        <v>151</v>
      </c>
      <c r="BW104">
        <v>99</v>
      </c>
      <c r="BX104" t="s">
        <v>147</v>
      </c>
      <c r="BY104">
        <v>99</v>
      </c>
      <c r="BZ104" t="s">
        <v>148</v>
      </c>
      <c r="CA104">
        <v>99</v>
      </c>
      <c r="CB104" t="s">
        <v>144</v>
      </c>
      <c r="CC104">
        <v>99</v>
      </c>
      <c r="CD104" t="s">
        <v>145</v>
      </c>
      <c r="CF104">
        <v>100</v>
      </c>
      <c r="CG104" t="s">
        <v>204</v>
      </c>
      <c r="CI104">
        <v>100</v>
      </c>
      <c r="CJ104" t="s">
        <v>233</v>
      </c>
      <c r="CL104">
        <v>100</v>
      </c>
      <c r="CM104" t="s">
        <v>227</v>
      </c>
      <c r="CO104">
        <v>100</v>
      </c>
      <c r="CP104" t="s">
        <v>307</v>
      </c>
      <c r="CR104">
        <v>100</v>
      </c>
      <c r="CS104" t="s">
        <v>338</v>
      </c>
      <c r="CU104">
        <v>100</v>
      </c>
      <c r="CV104" t="s">
        <v>342</v>
      </c>
      <c r="CX104">
        <v>100</v>
      </c>
      <c r="CY104">
        <v>3</v>
      </c>
      <c r="DA104">
        <v>100</v>
      </c>
      <c r="DB104">
        <v>7</v>
      </c>
      <c r="DD104">
        <v>100</v>
      </c>
      <c r="DE104">
        <v>9</v>
      </c>
      <c r="DG104">
        <v>100</v>
      </c>
      <c r="DH104" t="s">
        <v>440</v>
      </c>
    </row>
    <row r="105" spans="4:113" x14ac:dyDescent="0.3">
      <c r="D105" t="str">
        <f t="shared" ca="1" si="31"/>
        <v/>
      </c>
      <c r="E105" t="str" cm="1">
        <f t="array" aca="1" ref="E105" ca="1">_xlfn.IFS(D105="","",D105="Starstone", VLOOKUP($BK$4,$BK$6:$BM$11,3)*AI108*AJ108, D105 = "Tristal", VLOOKUP($BK$14,$BK$16:$BM$24,3)*AI108*AJ108, 1=1, VLOOKUP(AO108,$AX$75:$AZ$174,3)*AI108*AJ108)</f>
        <v/>
      </c>
      <c r="F105" t="str" cm="1">
        <f t="array" aca="1" ref="F105" ca="1">IF(D105="","",_xlfn.IFS(AH108&gt;5,"Normal",AND(AH108&lt;=5,$BK$28&lt;=4),VLOOKUP(AF108,$BK$29:$BN$39,2),AND(AH108&lt;=5,$BK$28&gt;=9),VLOOKUP(AF108,$BK$29:$BN$39,2), 1=1, "Normal"))</f>
        <v/>
      </c>
      <c r="G105" t="str" cm="1">
        <f t="array" aca="1" ref="G105" ca="1">IF(D105="","",_xlfn.IFS(AH108&gt;5, "Normal", AND(AH108&lt;=5, $BL$28&lt;=8, $BL$28&gt;=5), VLOOKUP(AG108,$BK$29:$BN$39,3), AND(AH108&lt;=5,$BK$28&gt;=9), VLOOKUP(AG108,$BK$29:$BN$39,3), 1=1, "Normal"))</f>
        <v/>
      </c>
      <c r="H105" t="str">
        <f t="shared" ca="1" si="28"/>
        <v/>
      </c>
      <c r="I105" t="str">
        <f t="shared" ca="1" si="29"/>
        <v/>
      </c>
      <c r="K105" t="str" cm="1">
        <f t="array" aca="1" ref="K105" ca="1">IF(L105="","",(_xlfn.IFS(L105&gt;=15000,VLOOKUP(AW108,$BE$5:$BH$15,4),L105&gt;=4000,VLOOKUP(AW108,$BE$5:$BH$15,3),L105&gt;=100,VLOOKUP(AW108,$BE$5:$BH$15,2))))</f>
        <v/>
      </c>
      <c r="L105" t="str">
        <f t="shared" ca="1" si="30"/>
        <v/>
      </c>
      <c r="AF105" s="1">
        <f t="shared" ca="1" si="34"/>
        <v>3</v>
      </c>
      <c r="AG105" s="1">
        <f t="shared" ca="1" si="34"/>
        <v>6</v>
      </c>
      <c r="AH105" s="1">
        <f t="shared" ca="1" si="35"/>
        <v>92</v>
      </c>
      <c r="AI105" s="1">
        <f t="shared" ca="1" si="32"/>
        <v>0.25</v>
      </c>
      <c r="AJ105" s="1">
        <f t="shared" ca="1" si="33"/>
        <v>2</v>
      </c>
      <c r="AO105" s="1">
        <f t="shared" ca="1" si="36"/>
        <v>37</v>
      </c>
      <c r="AP105" s="1">
        <f t="shared" ca="1" si="37"/>
        <v>-29</v>
      </c>
      <c r="AS105" s="1">
        <f t="shared" ca="1" si="38"/>
        <v>42</v>
      </c>
      <c r="AV105" s="1">
        <f t="shared" ca="1" si="39"/>
        <v>-86</v>
      </c>
      <c r="AW105" s="1">
        <f t="shared" ca="1" si="40"/>
        <v>9</v>
      </c>
      <c r="AX105">
        <v>31</v>
      </c>
      <c r="AY105" t="s">
        <v>39</v>
      </c>
      <c r="AZ105">
        <v>500</v>
      </c>
      <c r="BE105">
        <v>88</v>
      </c>
      <c r="BF105" t="s">
        <v>99</v>
      </c>
      <c r="BG105" t="s">
        <v>107</v>
      </c>
      <c r="BQ105">
        <v>100</v>
      </c>
      <c r="BR105" t="s">
        <v>151</v>
      </c>
      <c r="BW105">
        <v>100</v>
      </c>
      <c r="BX105" t="s">
        <v>147</v>
      </c>
      <c r="BY105">
        <v>100</v>
      </c>
      <c r="BZ105" t="s">
        <v>148</v>
      </c>
      <c r="CA105">
        <v>100</v>
      </c>
      <c r="CB105" t="s">
        <v>144</v>
      </c>
      <c r="CC105">
        <v>100</v>
      </c>
      <c r="CD105" t="s">
        <v>145</v>
      </c>
      <c r="DG105">
        <v>101</v>
      </c>
      <c r="DH105" t="s">
        <v>441</v>
      </c>
    </row>
    <row r="106" spans="4:113" x14ac:dyDescent="0.3">
      <c r="D106" t="str">
        <f t="shared" ca="1" si="31"/>
        <v/>
      </c>
      <c r="E106" t="str" cm="1">
        <f t="array" aca="1" ref="E106" ca="1">_xlfn.IFS(D106="","",D106="Starstone", VLOOKUP($BK$4,$BK$6:$BM$11,3)*AI109*AJ109, D106 = "Tristal", VLOOKUP($BK$14,$BK$16:$BM$24,3)*AI109*AJ109, 1=1, VLOOKUP(AO109,$AX$75:$AZ$174,3)*AI109*AJ109)</f>
        <v/>
      </c>
      <c r="F106" t="str" cm="1">
        <f t="array" aca="1" ref="F106" ca="1">IF(D106="","",_xlfn.IFS(AH109&gt;5,"Normal",AND(AH109&lt;=5,$BK$28&lt;=4),VLOOKUP(AF109,$BK$29:$BN$39,2),AND(AH109&lt;=5,$BK$28&gt;=9),VLOOKUP(AF109,$BK$29:$BN$39,2), 1=1, "Normal"))</f>
        <v/>
      </c>
      <c r="G106" t="str" cm="1">
        <f t="array" aca="1" ref="G106" ca="1">IF(D106="","",_xlfn.IFS(AH109&gt;5, "Normal", AND(AH109&lt;=5, $BL$28&lt;=8, $BL$28&gt;=5), VLOOKUP(AG109,$BK$29:$BN$39,3), AND(AH109&lt;=5,$BK$28&gt;=9), VLOOKUP(AG109,$BK$29:$BN$39,3), 1=1, "Normal"))</f>
        <v/>
      </c>
      <c r="H106" t="str">
        <f t="shared" ca="1" si="28"/>
        <v/>
      </c>
      <c r="I106" t="str">
        <f t="shared" ca="1" si="29"/>
        <v/>
      </c>
      <c r="K106" t="str" cm="1">
        <f t="array" aca="1" ref="K106" ca="1">IF(L106="","",(_xlfn.IFS(L106&gt;=15000,VLOOKUP(AW109,$BE$5:$BH$15,4),L106&gt;=4000,VLOOKUP(AW109,$BE$5:$BH$15,3),L106&gt;=100,VLOOKUP(AW109,$BE$5:$BH$15,2))))</f>
        <v/>
      </c>
      <c r="L106" t="str">
        <f t="shared" ca="1" si="30"/>
        <v/>
      </c>
      <c r="AF106" s="1">
        <f t="shared" ca="1" si="34"/>
        <v>8</v>
      </c>
      <c r="AG106" s="1">
        <f t="shared" ca="1" si="34"/>
        <v>2</v>
      </c>
      <c r="AH106" s="1">
        <f t="shared" ca="1" si="35"/>
        <v>57</v>
      </c>
      <c r="AI106" s="1">
        <f t="shared" ca="1" si="32"/>
        <v>4</v>
      </c>
      <c r="AJ106" s="1">
        <f t="shared" ca="1" si="33"/>
        <v>0.25</v>
      </c>
      <c r="AO106" s="1">
        <f t="shared" ca="1" si="36"/>
        <v>76</v>
      </c>
      <c r="AP106" s="1">
        <f t="shared" ca="1" si="37"/>
        <v>-30</v>
      </c>
      <c r="AS106" s="1">
        <f t="shared" ca="1" si="38"/>
        <v>79</v>
      </c>
      <c r="AV106" s="1">
        <f t="shared" ca="1" si="39"/>
        <v>-87</v>
      </c>
      <c r="AW106" s="1">
        <f t="shared" ca="1" si="40"/>
        <v>5</v>
      </c>
      <c r="AX106">
        <v>32</v>
      </c>
      <c r="AY106" t="s">
        <v>37</v>
      </c>
      <c r="AZ106">
        <v>500</v>
      </c>
      <c r="BE106">
        <v>89</v>
      </c>
      <c r="BF106" t="s">
        <v>99</v>
      </c>
      <c r="BG106" t="s">
        <v>107</v>
      </c>
      <c r="DG106">
        <v>102</v>
      </c>
      <c r="DH106" t="s">
        <v>442</v>
      </c>
    </row>
    <row r="107" spans="4:113" x14ac:dyDescent="0.3">
      <c r="D107" t="str">
        <f t="shared" ca="1" si="31"/>
        <v/>
      </c>
      <c r="E107" t="str" cm="1">
        <f t="array" aca="1" ref="E107" ca="1">_xlfn.IFS(D107="","",D107="Starstone", VLOOKUP($BK$4,$BK$6:$BM$11,3)*AI110*AJ110, D107 = "Tristal", VLOOKUP($BK$14,$BK$16:$BM$24,3)*AI110*AJ110, 1=1, VLOOKUP(AO110,$AX$75:$AZ$174,3)*AI110*AJ110)</f>
        <v/>
      </c>
      <c r="F107" t="str" cm="1">
        <f t="array" aca="1" ref="F107" ca="1">IF(D107="","",_xlfn.IFS(AH110&gt;5,"Normal",AND(AH110&lt;=5,$BK$28&lt;=4),VLOOKUP(AF110,$BK$29:$BN$39,2),AND(AH110&lt;=5,$BK$28&gt;=9),VLOOKUP(AF110,$BK$29:$BN$39,2), 1=1, "Normal"))</f>
        <v/>
      </c>
      <c r="G107" t="str" cm="1">
        <f t="array" aca="1" ref="G107" ca="1">IF(D107="","",_xlfn.IFS(AH110&gt;5, "Normal", AND(AH110&lt;=5, $BL$28&lt;=8, $BL$28&gt;=5), VLOOKUP(AG110,$BK$29:$BN$39,3), AND(AH110&lt;=5,$BK$28&gt;=9), VLOOKUP(AG110,$BK$29:$BN$39,3), 1=1, "Normal"))</f>
        <v/>
      </c>
      <c r="H107" t="str">
        <f t="shared" ca="1" si="28"/>
        <v/>
      </c>
      <c r="I107" t="str">
        <f t="shared" ca="1" si="29"/>
        <v/>
      </c>
      <c r="K107" t="str" cm="1">
        <f t="array" aca="1" ref="K107" ca="1">IF(L107="","",(_xlfn.IFS(L107&gt;=15000,VLOOKUP(AW110,$BE$5:$BH$15,4),L107&gt;=4000,VLOOKUP(AW110,$BE$5:$BH$15,3),L107&gt;=100,VLOOKUP(AW110,$BE$5:$BH$15,2))))</f>
        <v/>
      </c>
      <c r="L107" t="str">
        <f t="shared" ca="1" si="30"/>
        <v/>
      </c>
      <c r="AF107" s="1">
        <f t="shared" ca="1" si="34"/>
        <v>3</v>
      </c>
      <c r="AG107" s="1">
        <f t="shared" ca="1" si="34"/>
        <v>4</v>
      </c>
      <c r="AH107" s="1">
        <f t="shared" ca="1" si="35"/>
        <v>83</v>
      </c>
      <c r="AI107" s="1">
        <f t="shared" ca="1" si="32"/>
        <v>0.25</v>
      </c>
      <c r="AJ107" s="1">
        <f t="shared" ca="1" si="33"/>
        <v>0.5</v>
      </c>
      <c r="AO107" s="1">
        <f t="shared" ca="1" si="36"/>
        <v>87</v>
      </c>
      <c r="AP107" s="1">
        <f t="shared" ca="1" si="37"/>
        <v>-31</v>
      </c>
      <c r="AS107" s="1">
        <f t="shared" ca="1" si="38"/>
        <v>26</v>
      </c>
      <c r="AV107" s="1">
        <f t="shared" ca="1" si="39"/>
        <v>-88</v>
      </c>
      <c r="AW107" s="1">
        <f t="shared" ca="1" si="40"/>
        <v>1</v>
      </c>
      <c r="AX107">
        <v>33</v>
      </c>
      <c r="AY107" t="s">
        <v>38</v>
      </c>
      <c r="AZ107">
        <v>500</v>
      </c>
      <c r="BE107">
        <v>90</v>
      </c>
      <c r="BF107" t="s">
        <v>99</v>
      </c>
      <c r="BG107" t="s">
        <v>107</v>
      </c>
      <c r="DG107">
        <v>103</v>
      </c>
      <c r="DH107" t="s">
        <v>443</v>
      </c>
    </row>
    <row r="108" spans="4:113" x14ac:dyDescent="0.3">
      <c r="D108" t="str">
        <f t="shared" ca="1" si="31"/>
        <v/>
      </c>
      <c r="E108" t="str" cm="1">
        <f t="array" aca="1" ref="E108" ca="1">_xlfn.IFS(D108="","",D108="Starstone", VLOOKUP($BK$4,$BK$6:$BM$11,3)*AI111*AJ111, D108 = "Tristal", VLOOKUP($BK$14,$BK$16:$BM$24,3)*AI111*AJ111, 1=1, VLOOKUP(AO111,$AX$75:$AZ$174,3)*AI111*AJ111)</f>
        <v/>
      </c>
      <c r="F108" t="str" cm="1">
        <f t="array" aca="1" ref="F108" ca="1">IF(D108="","",_xlfn.IFS(AH111&gt;5,"Normal",AND(AH111&lt;=5,$BK$28&lt;=4),VLOOKUP(AF111,$BK$29:$BN$39,2),AND(AH111&lt;=5,$BK$28&gt;=9),VLOOKUP(AF111,$BK$29:$BN$39,2), 1=1, "Normal"))</f>
        <v/>
      </c>
      <c r="G108" t="str" cm="1">
        <f t="array" aca="1" ref="G108" ca="1">IF(D108="","",_xlfn.IFS(AH111&gt;5, "Normal", AND(AH111&lt;=5, $BL$28&lt;=8, $BL$28&gt;=5), VLOOKUP(AG111,$BK$29:$BN$39,3), AND(AH111&lt;=5,$BK$28&gt;=9), VLOOKUP(AG111,$BK$29:$BN$39,3), 1=1, "Normal"))</f>
        <v/>
      </c>
      <c r="H108" t="str">
        <f t="shared" ca="1" si="28"/>
        <v/>
      </c>
      <c r="I108" t="str">
        <f t="shared" ca="1" si="29"/>
        <v/>
      </c>
      <c r="K108" t="str" cm="1">
        <f t="array" aca="1" ref="K108" ca="1">IF(L108="","",(_xlfn.IFS(L108&gt;=15000,VLOOKUP(AW111,$BE$5:$BH$15,4),L108&gt;=4000,VLOOKUP(AW111,$BE$5:$BH$15,3),L108&gt;=100,VLOOKUP(AW111,$BE$5:$BH$15,2))))</f>
        <v/>
      </c>
      <c r="L108" t="str">
        <f t="shared" ca="1" si="30"/>
        <v/>
      </c>
      <c r="AF108" s="1">
        <f t="shared" ca="1" si="34"/>
        <v>8</v>
      </c>
      <c r="AG108" s="1">
        <f t="shared" ca="1" si="34"/>
        <v>3</v>
      </c>
      <c r="AH108" s="1">
        <f t="shared" ca="1" si="35"/>
        <v>82</v>
      </c>
      <c r="AI108" s="1">
        <f t="shared" ca="1" si="32"/>
        <v>4</v>
      </c>
      <c r="AJ108" s="1">
        <f t="shared" ca="1" si="33"/>
        <v>0.25</v>
      </c>
      <c r="AO108" s="1">
        <f t="shared" ca="1" si="36"/>
        <v>42</v>
      </c>
      <c r="AP108" s="1">
        <f t="shared" ca="1" si="37"/>
        <v>-32</v>
      </c>
      <c r="AS108" s="1">
        <f t="shared" ca="1" si="38"/>
        <v>63</v>
      </c>
      <c r="AV108" s="1">
        <f t="shared" ca="1" si="39"/>
        <v>-89</v>
      </c>
      <c r="AW108" s="1">
        <f t="shared" ca="1" si="40"/>
        <v>4</v>
      </c>
      <c r="AX108">
        <v>34</v>
      </c>
      <c r="AY108" t="s">
        <v>39</v>
      </c>
      <c r="AZ108">
        <v>500</v>
      </c>
      <c r="BE108">
        <v>91</v>
      </c>
      <c r="BF108" t="s">
        <v>100</v>
      </c>
      <c r="BG108">
        <f ca="1">RANDBETWEEN(1,10)*100</f>
        <v>800</v>
      </c>
      <c r="DG108">
        <v>104</v>
      </c>
      <c r="DH108" t="s">
        <v>444</v>
      </c>
      <c r="DI108">
        <v>8</v>
      </c>
    </row>
    <row r="109" spans="4:113" x14ac:dyDescent="0.3">
      <c r="D109" t="str">
        <f t="shared" ca="1" si="31"/>
        <v/>
      </c>
      <c r="E109" t="str" cm="1">
        <f t="array" aca="1" ref="E109" ca="1">_xlfn.IFS(D109="","",D109="Starstone", VLOOKUP($BK$4,$BK$6:$BM$11,3)*AI112*AJ112, D109 = "Tristal", VLOOKUP($BK$14,$BK$16:$BM$24,3)*AI112*AJ112, 1=1, VLOOKUP(AO112,$AX$75:$AZ$174,3)*AI112*AJ112)</f>
        <v/>
      </c>
      <c r="F109" t="str" cm="1">
        <f t="array" aca="1" ref="F109" ca="1">IF(D109="","",_xlfn.IFS(AH112&gt;5,"Normal",AND(AH112&lt;=5,$BK$28&lt;=4),VLOOKUP(AF112,$BK$29:$BN$39,2),AND(AH112&lt;=5,$BK$28&gt;=9),VLOOKUP(AF112,$BK$29:$BN$39,2), 1=1, "Normal"))</f>
        <v/>
      </c>
      <c r="G109" t="str" cm="1">
        <f t="array" aca="1" ref="G109" ca="1">IF(D109="","",_xlfn.IFS(AH112&gt;5, "Normal", AND(AH112&lt;=5, $BL$28&lt;=8, $BL$28&gt;=5), VLOOKUP(AG112,$BK$29:$BN$39,3), AND(AH112&lt;=5,$BK$28&gt;=9), VLOOKUP(AG112,$BK$29:$BN$39,3), 1=1, "Normal"))</f>
        <v/>
      </c>
      <c r="H109" t="str">
        <f t="shared" ca="1" si="28"/>
        <v/>
      </c>
      <c r="I109" t="str">
        <f t="shared" ca="1" si="29"/>
        <v/>
      </c>
      <c r="K109" t="str" cm="1">
        <f t="array" aca="1" ref="K109" ca="1">IF(L109="","",(_xlfn.IFS(L109&gt;=15000,VLOOKUP(AW112,$BE$5:$BH$15,4),L109&gt;=4000,VLOOKUP(AW112,$BE$5:$BH$15,3),L109&gt;=100,VLOOKUP(AW112,$BE$5:$BH$15,2))))</f>
        <v/>
      </c>
      <c r="L109" t="str">
        <f t="shared" ca="1" si="30"/>
        <v/>
      </c>
      <c r="AF109" s="1">
        <f t="shared" ca="1" si="34"/>
        <v>2</v>
      </c>
      <c r="AG109" s="1">
        <f t="shared" ca="1" si="34"/>
        <v>7</v>
      </c>
      <c r="AH109" s="1">
        <f t="shared" ca="1" si="35"/>
        <v>19</v>
      </c>
      <c r="AI109" s="1">
        <f t="shared" ca="1" si="32"/>
        <v>0.25</v>
      </c>
      <c r="AJ109" s="1">
        <f t="shared" ca="1" si="33"/>
        <v>2</v>
      </c>
      <c r="AO109" s="1">
        <f t="shared" ca="1" si="36"/>
        <v>99</v>
      </c>
      <c r="AP109" s="1">
        <f t="shared" ca="1" si="37"/>
        <v>-33</v>
      </c>
      <c r="AS109" s="1">
        <f t="shared" ca="1" si="38"/>
        <v>24</v>
      </c>
      <c r="AV109" s="1">
        <f t="shared" ca="1" si="39"/>
        <v>-90</v>
      </c>
      <c r="AW109" s="1">
        <f t="shared" ca="1" si="40"/>
        <v>8</v>
      </c>
      <c r="AX109">
        <v>35</v>
      </c>
      <c r="AY109" t="s">
        <v>37</v>
      </c>
      <c r="AZ109">
        <v>500</v>
      </c>
      <c r="BE109">
        <v>92</v>
      </c>
      <c r="BF109" t="s">
        <v>100</v>
      </c>
      <c r="BG109">
        <f t="shared" ref="BG109:BG112" ca="1" si="43">RANDBETWEEN(1,10)*100</f>
        <v>800</v>
      </c>
      <c r="DG109">
        <v>105</v>
      </c>
      <c r="DH109" t="s">
        <v>445</v>
      </c>
      <c r="DI109">
        <v>9</v>
      </c>
    </row>
    <row r="110" spans="4:113" x14ac:dyDescent="0.3">
      <c r="D110" t="str">
        <f t="shared" ca="1" si="31"/>
        <v/>
      </c>
      <c r="E110" t="str" cm="1">
        <f t="array" aca="1" ref="E110" ca="1">_xlfn.IFS(D110="","",D110="Starstone", VLOOKUP($BK$4,$BK$6:$BM$11,3)*AI113*AJ113, D110 = "Tristal", VLOOKUP($BK$14,$BK$16:$BM$24,3)*AI113*AJ113, 1=1, VLOOKUP(AO113,$AX$75:$AZ$174,3)*AI113*AJ113)</f>
        <v/>
      </c>
      <c r="F110" t="str" cm="1">
        <f t="array" aca="1" ref="F110" ca="1">IF(D110="","",_xlfn.IFS(AH113&gt;5,"Normal",AND(AH113&lt;=5,$BK$28&lt;=4),VLOOKUP(AF113,$BK$29:$BN$39,2),AND(AH113&lt;=5,$BK$28&gt;=9),VLOOKUP(AF113,$BK$29:$BN$39,2), 1=1, "Normal"))</f>
        <v/>
      </c>
      <c r="G110" t="str" cm="1">
        <f t="array" aca="1" ref="G110" ca="1">IF(D110="","",_xlfn.IFS(AH113&gt;5, "Normal", AND(AH113&lt;=5, $BL$28&lt;=8, $BL$28&gt;=5), VLOOKUP(AG113,$BK$29:$BN$39,3), AND(AH113&lt;=5,$BK$28&gt;=9), VLOOKUP(AG113,$BK$29:$BN$39,3), 1=1, "Normal"))</f>
        <v/>
      </c>
      <c r="H110" t="str">
        <f t="shared" ca="1" si="28"/>
        <v/>
      </c>
      <c r="I110" t="str">
        <f t="shared" ca="1" si="29"/>
        <v/>
      </c>
      <c r="K110" t="str" cm="1">
        <f t="array" aca="1" ref="K110" ca="1">IF(L110="","",(_xlfn.IFS(L110&gt;=15000,VLOOKUP(AW113,$BE$5:$BH$15,4),L110&gt;=4000,VLOOKUP(AW113,$BE$5:$BH$15,3),L110&gt;=100,VLOOKUP(AW113,$BE$5:$BH$15,2))))</f>
        <v/>
      </c>
      <c r="L110" t="str">
        <f t="shared" ca="1" si="30"/>
        <v/>
      </c>
      <c r="AF110" s="1">
        <f t="shared" ca="1" si="34"/>
        <v>10</v>
      </c>
      <c r="AG110" s="1">
        <f t="shared" ca="1" si="34"/>
        <v>9</v>
      </c>
      <c r="AH110" s="1">
        <f t="shared" ca="1" si="35"/>
        <v>33</v>
      </c>
      <c r="AI110" s="1">
        <f t="shared" ca="1" si="32"/>
        <v>8</v>
      </c>
      <c r="AJ110" s="1">
        <f t="shared" ca="1" si="33"/>
        <v>4</v>
      </c>
      <c r="AO110" s="1">
        <f t="shared" ca="1" si="36"/>
        <v>44</v>
      </c>
      <c r="AP110" s="1">
        <f t="shared" ca="1" si="37"/>
        <v>-34</v>
      </c>
      <c r="AS110" s="1">
        <f t="shared" ca="1" si="38"/>
        <v>95</v>
      </c>
      <c r="AV110" s="1">
        <f t="shared" ca="1" si="39"/>
        <v>-91</v>
      </c>
      <c r="AW110" s="1">
        <f t="shared" ca="1" si="40"/>
        <v>5</v>
      </c>
      <c r="AX110">
        <v>36</v>
      </c>
      <c r="AY110" t="s">
        <v>38</v>
      </c>
      <c r="AZ110">
        <v>500</v>
      </c>
      <c r="BE110">
        <v>93</v>
      </c>
      <c r="BF110" t="s">
        <v>100</v>
      </c>
      <c r="BG110">
        <f t="shared" ca="1" si="43"/>
        <v>100</v>
      </c>
      <c r="DG110">
        <v>106</v>
      </c>
      <c r="DH110" t="s">
        <v>446</v>
      </c>
    </row>
    <row r="111" spans="4:113" x14ac:dyDescent="0.3">
      <c r="D111" t="str">
        <f t="shared" ca="1" si="31"/>
        <v/>
      </c>
      <c r="E111" t="str" cm="1">
        <f t="array" aca="1" ref="E111" ca="1">_xlfn.IFS(D111="","",D111="Starstone", VLOOKUP($BK$4,$BK$6:$BM$11,3)*AI114*AJ114, D111 = "Tristal", VLOOKUP($BK$14,$BK$16:$BM$24,3)*AI114*AJ114, 1=1, VLOOKUP(AO114,$AX$75:$AZ$174,3)*AI114*AJ114)</f>
        <v/>
      </c>
      <c r="F111" t="str" cm="1">
        <f t="array" aca="1" ref="F111" ca="1">IF(D111="","",_xlfn.IFS(AH114&gt;5,"Normal",AND(AH114&lt;=5,$BK$28&lt;=4),VLOOKUP(AF114,$BK$29:$BN$39,2),AND(AH114&lt;=5,$BK$28&gt;=9),VLOOKUP(AF114,$BK$29:$BN$39,2), 1=1, "Normal"))</f>
        <v/>
      </c>
      <c r="G111" t="str" cm="1">
        <f t="array" aca="1" ref="G111" ca="1">IF(D111="","",_xlfn.IFS(AH114&gt;5, "Normal", AND(AH114&lt;=5, $BL$28&lt;=8, $BL$28&gt;=5), VLOOKUP(AG114,$BK$29:$BN$39,3), AND(AH114&lt;=5,$BK$28&gt;=9), VLOOKUP(AG114,$BK$29:$BN$39,3), 1=1, "Normal"))</f>
        <v/>
      </c>
      <c r="H111" t="str">
        <f t="shared" ca="1" si="28"/>
        <v/>
      </c>
      <c r="I111" t="str">
        <f t="shared" ca="1" si="29"/>
        <v/>
      </c>
      <c r="K111" t="str" cm="1">
        <f t="array" aca="1" ref="K111" ca="1">IF(L111="","",(_xlfn.IFS(L111&gt;=15000,VLOOKUP(AW114,$BE$5:$BH$15,4),L111&gt;=4000,VLOOKUP(AW114,$BE$5:$BH$15,3),L111&gt;=100,VLOOKUP(AW114,$BE$5:$BH$15,2))))</f>
        <v/>
      </c>
      <c r="L111" t="str">
        <f t="shared" ca="1" si="30"/>
        <v/>
      </c>
      <c r="AF111" s="1">
        <f t="shared" ca="1" si="34"/>
        <v>5</v>
      </c>
      <c r="AG111" s="1">
        <f t="shared" ca="1" si="34"/>
        <v>4</v>
      </c>
      <c r="AH111" s="1">
        <f t="shared" ca="1" si="35"/>
        <v>79</v>
      </c>
      <c r="AI111" s="1">
        <f t="shared" ca="1" si="32"/>
        <v>0.5</v>
      </c>
      <c r="AJ111" s="1">
        <f t="shared" ca="1" si="33"/>
        <v>0.5</v>
      </c>
      <c r="AO111" s="1">
        <f t="shared" ca="1" si="36"/>
        <v>29</v>
      </c>
      <c r="AP111" s="1">
        <f t="shared" ca="1" si="37"/>
        <v>-35</v>
      </c>
      <c r="AS111" s="1">
        <f t="shared" ca="1" si="38"/>
        <v>31</v>
      </c>
      <c r="AV111" s="1">
        <f t="shared" ca="1" si="39"/>
        <v>-92</v>
      </c>
      <c r="AW111" s="1">
        <f t="shared" ca="1" si="40"/>
        <v>9</v>
      </c>
      <c r="AX111">
        <v>37</v>
      </c>
      <c r="AY111" t="s">
        <v>39</v>
      </c>
      <c r="AZ111">
        <v>500</v>
      </c>
      <c r="BE111">
        <v>94</v>
      </c>
      <c r="BF111" t="s">
        <v>100</v>
      </c>
      <c r="BG111">
        <f t="shared" ca="1" si="43"/>
        <v>400</v>
      </c>
      <c r="DG111">
        <v>107</v>
      </c>
      <c r="DH111" t="s">
        <v>447</v>
      </c>
    </row>
    <row r="112" spans="4:113" x14ac:dyDescent="0.3">
      <c r="D112" t="str">
        <f t="shared" ca="1" si="31"/>
        <v/>
      </c>
      <c r="E112" t="str" cm="1">
        <f t="array" aca="1" ref="E112" ca="1">_xlfn.IFS(D112="","",D112="Starstone", VLOOKUP($BK$4,$BK$6:$BM$11,3)*AI115*AJ115, D112 = "Tristal", VLOOKUP($BK$14,$BK$16:$BM$24,3)*AI115*AJ115, 1=1, VLOOKUP(AO115,$AX$75:$AZ$174,3)*AI115*AJ115)</f>
        <v/>
      </c>
      <c r="F112" t="str" cm="1">
        <f t="array" aca="1" ref="F112" ca="1">IF(D112="","",_xlfn.IFS(AH115&gt;5,"Normal",AND(AH115&lt;=5,$BK$28&lt;=4),VLOOKUP(AF115,$BK$29:$BN$39,2),AND(AH115&lt;=5,$BK$28&gt;=9),VLOOKUP(AF115,$BK$29:$BN$39,2), 1=1, "Normal"))</f>
        <v/>
      </c>
      <c r="G112" t="str" cm="1">
        <f t="array" aca="1" ref="G112" ca="1">IF(D112="","",_xlfn.IFS(AH115&gt;5, "Normal", AND(AH115&lt;=5, $BL$28&lt;=8, $BL$28&gt;=5), VLOOKUP(AG115,$BK$29:$BN$39,3), AND(AH115&lt;=5,$BK$28&gt;=9), VLOOKUP(AG115,$BK$29:$BN$39,3), 1=1, "Normal"))</f>
        <v/>
      </c>
      <c r="H112" t="str">
        <f t="shared" ca="1" si="28"/>
        <v/>
      </c>
      <c r="I112" t="str">
        <f t="shared" ca="1" si="29"/>
        <v/>
      </c>
      <c r="K112" t="str" cm="1">
        <f t="array" aca="1" ref="K112" ca="1">IF(L112="","",(_xlfn.IFS(L112&gt;=15000,VLOOKUP(AW115,$BE$5:$BH$15,4),L112&gt;=4000,VLOOKUP(AW115,$BE$5:$BH$15,3),L112&gt;=100,VLOOKUP(AW115,$BE$5:$BH$15,2))))</f>
        <v/>
      </c>
      <c r="L112" t="str">
        <f t="shared" ca="1" si="30"/>
        <v/>
      </c>
      <c r="AF112" s="1">
        <f t="shared" ca="1" si="34"/>
        <v>1</v>
      </c>
      <c r="AG112" s="1">
        <f t="shared" ca="1" si="34"/>
        <v>2</v>
      </c>
      <c r="AH112" s="1">
        <f t="shared" ca="1" si="35"/>
        <v>48</v>
      </c>
      <c r="AI112" s="1">
        <f t="shared" ca="1" si="32"/>
        <v>0.125</v>
      </c>
      <c r="AJ112" s="1">
        <f t="shared" ca="1" si="33"/>
        <v>0.25</v>
      </c>
      <c r="AO112" s="1">
        <f t="shared" ca="1" si="36"/>
        <v>30</v>
      </c>
      <c r="AP112" s="1">
        <f t="shared" ca="1" si="37"/>
        <v>-36</v>
      </c>
      <c r="AS112" s="1">
        <f t="shared" ca="1" si="38"/>
        <v>42</v>
      </c>
      <c r="AV112" s="1">
        <f t="shared" ca="1" si="39"/>
        <v>-93</v>
      </c>
      <c r="AW112" s="1">
        <f t="shared" ca="1" si="40"/>
        <v>9</v>
      </c>
      <c r="AX112">
        <v>38</v>
      </c>
      <c r="AY112" t="s">
        <v>37</v>
      </c>
      <c r="AZ112">
        <v>500</v>
      </c>
      <c r="BE112">
        <v>95</v>
      </c>
      <c r="BF112" t="s">
        <v>100</v>
      </c>
      <c r="BG112">
        <f t="shared" ca="1" si="43"/>
        <v>500</v>
      </c>
      <c r="DG112">
        <v>108</v>
      </c>
      <c r="DH112" t="s">
        <v>448</v>
      </c>
    </row>
    <row r="113" spans="4:112" x14ac:dyDescent="0.3">
      <c r="D113" t="str">
        <f t="shared" ca="1" si="31"/>
        <v/>
      </c>
      <c r="E113" t="str" cm="1">
        <f t="array" aca="1" ref="E113" ca="1">_xlfn.IFS(D113="","",D113="Starstone", VLOOKUP($BK$4,$BK$6:$BM$11,3)*AI116*AJ116, D113 = "Tristal", VLOOKUP($BK$14,$BK$16:$BM$24,3)*AI116*AJ116, 1=1, VLOOKUP(AO116,$AX$75:$AZ$174,3)*AI116*AJ116)</f>
        <v/>
      </c>
      <c r="F113" t="str" cm="1">
        <f t="array" aca="1" ref="F113" ca="1">IF(D113="","",_xlfn.IFS(AH116&gt;5,"Normal",AND(AH116&lt;=5,$BK$28&lt;=4),VLOOKUP(AF116,$BK$29:$BN$39,2),AND(AH116&lt;=5,$BK$28&gt;=9),VLOOKUP(AF116,$BK$29:$BN$39,2), 1=1, "Normal"))</f>
        <v/>
      </c>
      <c r="G113" t="str" cm="1">
        <f t="array" aca="1" ref="G113" ca="1">IF(D113="","",_xlfn.IFS(AH116&gt;5, "Normal", AND(AH116&lt;=5, $BL$28&lt;=8, $BL$28&gt;=5), VLOOKUP(AG116,$BK$29:$BN$39,3), AND(AH116&lt;=5,$BK$28&gt;=9), VLOOKUP(AG116,$BK$29:$BN$39,3), 1=1, "Normal"))</f>
        <v/>
      </c>
      <c r="H113" t="str">
        <f t="shared" ca="1" si="28"/>
        <v/>
      </c>
      <c r="I113" t="str">
        <f t="shared" ca="1" si="29"/>
        <v/>
      </c>
      <c r="K113" t="str" cm="1">
        <f t="array" aca="1" ref="K113" ca="1">IF(L113="","",(_xlfn.IFS(L113&gt;=15000,VLOOKUP(AW116,$BE$5:$BH$15,4),L113&gt;=4000,VLOOKUP(AW116,$BE$5:$BH$15,3),L113&gt;=100,VLOOKUP(AW116,$BE$5:$BH$15,2))))</f>
        <v/>
      </c>
      <c r="L113" t="str">
        <f t="shared" ca="1" si="30"/>
        <v/>
      </c>
      <c r="AF113" s="1">
        <f t="shared" ca="1" si="34"/>
        <v>2</v>
      </c>
      <c r="AG113" s="1">
        <f t="shared" ca="1" si="34"/>
        <v>4</v>
      </c>
      <c r="AH113" s="1">
        <f t="shared" ca="1" si="35"/>
        <v>25</v>
      </c>
      <c r="AI113" s="1">
        <f t="shared" ca="1" si="32"/>
        <v>0.25</v>
      </c>
      <c r="AJ113" s="1">
        <f t="shared" ca="1" si="33"/>
        <v>0.5</v>
      </c>
      <c r="AO113" s="1">
        <f t="shared" ca="1" si="36"/>
        <v>19</v>
      </c>
      <c r="AP113" s="1">
        <f t="shared" ca="1" si="37"/>
        <v>-37</v>
      </c>
      <c r="AS113" s="1">
        <f t="shared" ca="1" si="38"/>
        <v>65</v>
      </c>
      <c r="AV113" s="1">
        <f t="shared" ca="1" si="39"/>
        <v>-94</v>
      </c>
      <c r="AW113" s="1">
        <f t="shared" ca="1" si="40"/>
        <v>8</v>
      </c>
      <c r="AX113">
        <v>39</v>
      </c>
      <c r="AY113" t="s">
        <v>38</v>
      </c>
      <c r="AZ113">
        <v>500</v>
      </c>
      <c r="BE113">
        <v>96</v>
      </c>
      <c r="BF113" t="s">
        <v>101</v>
      </c>
      <c r="BG113" t="s">
        <v>108</v>
      </c>
      <c r="DG113">
        <v>109</v>
      </c>
      <c r="DH113" t="s">
        <v>449</v>
      </c>
    </row>
    <row r="114" spans="4:112" x14ac:dyDescent="0.3">
      <c r="D114" t="str">
        <f t="shared" ca="1" si="31"/>
        <v/>
      </c>
      <c r="E114" t="str" cm="1">
        <f t="array" aca="1" ref="E114" ca="1">_xlfn.IFS(D114="","",D114="Starstone", VLOOKUP($BK$4,$BK$6:$BM$11,3)*AI117*AJ117, D114 = "Tristal", VLOOKUP($BK$14,$BK$16:$BM$24,3)*AI117*AJ117, 1=1, VLOOKUP(AO117,$AX$75:$AZ$174,3)*AI117*AJ117)</f>
        <v/>
      </c>
      <c r="F114" t="str" cm="1">
        <f t="array" aca="1" ref="F114" ca="1">IF(D114="","",_xlfn.IFS(AH117&gt;5,"Normal",AND(AH117&lt;=5,$BK$28&lt;=4),VLOOKUP(AF117,$BK$29:$BN$39,2),AND(AH117&lt;=5,$BK$28&gt;=9),VLOOKUP(AF117,$BK$29:$BN$39,2), 1=1, "Normal"))</f>
        <v/>
      </c>
      <c r="G114" t="str" cm="1">
        <f t="array" aca="1" ref="G114" ca="1">IF(D114="","",_xlfn.IFS(AH117&gt;5, "Normal", AND(AH117&lt;=5, $BL$28&lt;=8, $BL$28&gt;=5), VLOOKUP(AG117,$BK$29:$BN$39,3), AND(AH117&lt;=5,$BK$28&gt;=9), VLOOKUP(AG117,$BK$29:$BN$39,3), 1=1, "Normal"))</f>
        <v/>
      </c>
      <c r="H114" t="str">
        <f t="shared" ca="1" si="28"/>
        <v/>
      </c>
      <c r="I114" t="str">
        <f t="shared" ca="1" si="29"/>
        <v/>
      </c>
      <c r="K114" t="str" cm="1">
        <f t="array" aca="1" ref="K114" ca="1">IF(L114="","",(_xlfn.IFS(L114&gt;=15000,VLOOKUP(AW117,$BE$5:$BH$15,4),L114&gt;=4000,VLOOKUP(AW117,$BE$5:$BH$15,3),L114&gt;=100,VLOOKUP(AW117,$BE$5:$BH$15,2))))</f>
        <v/>
      </c>
      <c r="L114" t="str">
        <f t="shared" ca="1" si="30"/>
        <v/>
      </c>
      <c r="AF114" s="1">
        <f t="shared" ca="1" si="34"/>
        <v>1</v>
      </c>
      <c r="AG114" s="1">
        <f t="shared" ca="1" si="34"/>
        <v>9</v>
      </c>
      <c r="AH114" s="1">
        <f t="shared" ca="1" si="35"/>
        <v>7</v>
      </c>
      <c r="AI114" s="1">
        <f t="shared" ca="1" si="32"/>
        <v>0.125</v>
      </c>
      <c r="AJ114" s="1">
        <f t="shared" ca="1" si="33"/>
        <v>4</v>
      </c>
      <c r="AO114" s="1">
        <f t="shared" ca="1" si="36"/>
        <v>51</v>
      </c>
      <c r="AP114" s="1">
        <f t="shared" ca="1" si="37"/>
        <v>-38</v>
      </c>
      <c r="AS114" s="1">
        <f t="shared" ca="1" si="38"/>
        <v>71</v>
      </c>
      <c r="AV114" s="1">
        <f t="shared" ca="1" si="39"/>
        <v>-95</v>
      </c>
      <c r="AW114" s="1">
        <f t="shared" ca="1" si="40"/>
        <v>1</v>
      </c>
      <c r="AX114">
        <v>40</v>
      </c>
      <c r="AY114" t="s">
        <v>39</v>
      </c>
      <c r="AZ114">
        <v>500</v>
      </c>
      <c r="BE114">
        <v>97</v>
      </c>
      <c r="BF114" t="s">
        <v>101</v>
      </c>
      <c r="BG114" t="s">
        <v>108</v>
      </c>
      <c r="DG114">
        <v>110</v>
      </c>
      <c r="DH114" t="s">
        <v>450</v>
      </c>
    </row>
    <row r="115" spans="4:112" x14ac:dyDescent="0.3">
      <c r="D115" t="str">
        <f t="shared" ca="1" si="31"/>
        <v/>
      </c>
      <c r="E115" t="str" cm="1">
        <f t="array" aca="1" ref="E115" ca="1">_xlfn.IFS(D115="","",D115="Starstone", VLOOKUP($BK$4,$BK$6:$BM$11,3)*AI118*AJ118, D115 = "Tristal", VLOOKUP($BK$14,$BK$16:$BM$24,3)*AI118*AJ118, 1=1, VLOOKUP(AO118,$AX$75:$AZ$174,3)*AI118*AJ118)</f>
        <v/>
      </c>
      <c r="F115" t="str" cm="1">
        <f t="array" aca="1" ref="F115" ca="1">IF(D115="","",_xlfn.IFS(AH118&gt;5,"Normal",AND(AH118&lt;=5,$BK$28&lt;=4),VLOOKUP(AF118,$BK$29:$BN$39,2),AND(AH118&lt;=5,$BK$28&gt;=9),VLOOKUP(AF118,$BK$29:$BN$39,2), 1=1, "Normal"))</f>
        <v/>
      </c>
      <c r="G115" t="str" cm="1">
        <f t="array" aca="1" ref="G115" ca="1">IF(D115="","",_xlfn.IFS(AH118&gt;5, "Normal", AND(AH118&lt;=5, $BL$28&lt;=8, $BL$28&gt;=5), VLOOKUP(AG118,$BK$29:$BN$39,3), AND(AH118&lt;=5,$BK$28&gt;=9), VLOOKUP(AG118,$BK$29:$BN$39,3), 1=1, "Normal"))</f>
        <v/>
      </c>
      <c r="H115" t="str">
        <f t="shared" ca="1" si="28"/>
        <v/>
      </c>
      <c r="I115" t="str">
        <f t="shared" ca="1" si="29"/>
        <v/>
      </c>
      <c r="K115" t="str" cm="1">
        <f t="array" aca="1" ref="K115" ca="1">IF(L115="","",(_xlfn.IFS(L115&gt;=15000,VLOOKUP(AW118,$BE$5:$BH$15,4),L115&gt;=4000,VLOOKUP(AW118,$BE$5:$BH$15,3),L115&gt;=100,VLOOKUP(AW118,$BE$5:$BH$15,2))))</f>
        <v/>
      </c>
      <c r="L115" t="str">
        <f t="shared" ca="1" si="30"/>
        <v/>
      </c>
      <c r="AF115" s="1">
        <f t="shared" ca="1" si="34"/>
        <v>7</v>
      </c>
      <c r="AG115" s="1">
        <f t="shared" ca="1" si="34"/>
        <v>6</v>
      </c>
      <c r="AH115" s="1">
        <f t="shared" ca="1" si="35"/>
        <v>52</v>
      </c>
      <c r="AI115" s="1">
        <f t="shared" ca="1" si="32"/>
        <v>2</v>
      </c>
      <c r="AJ115" s="1">
        <f t="shared" ca="1" si="33"/>
        <v>2</v>
      </c>
      <c r="AO115" s="1">
        <f t="shared" ca="1" si="36"/>
        <v>7</v>
      </c>
      <c r="AP115" s="1">
        <f t="shared" ca="1" si="37"/>
        <v>-39</v>
      </c>
      <c r="AS115" s="1">
        <f t="shared" ca="1" si="38"/>
        <v>78</v>
      </c>
      <c r="AV115" s="1">
        <f t="shared" ca="1" si="39"/>
        <v>-96</v>
      </c>
      <c r="AW115" s="1">
        <f t="shared" ca="1" si="40"/>
        <v>10</v>
      </c>
      <c r="AX115">
        <v>41</v>
      </c>
      <c r="AY115" t="s">
        <v>37</v>
      </c>
      <c r="AZ115">
        <v>500</v>
      </c>
      <c r="BE115">
        <v>98</v>
      </c>
      <c r="BF115" t="s">
        <v>101</v>
      </c>
      <c r="BG115" t="s">
        <v>108</v>
      </c>
      <c r="DG115">
        <v>111</v>
      </c>
      <c r="DH115" t="s">
        <v>451</v>
      </c>
    </row>
    <row r="116" spans="4:112" x14ac:dyDescent="0.3">
      <c r="D116" t="str">
        <f t="shared" ca="1" si="31"/>
        <v/>
      </c>
      <c r="E116" t="str" cm="1">
        <f t="array" aca="1" ref="E116" ca="1">_xlfn.IFS(D116="","",D116="Starstone", VLOOKUP($BK$4,$BK$6:$BM$11,3)*AI119*AJ119, D116 = "Tristal", VLOOKUP($BK$14,$BK$16:$BM$24,3)*AI119*AJ119, 1=1, VLOOKUP(AO119,$AX$75:$AZ$174,3)*AI119*AJ119)</f>
        <v/>
      </c>
      <c r="F116" t="str" cm="1">
        <f t="array" aca="1" ref="F116" ca="1">IF(D116="","",_xlfn.IFS(AH119&gt;5,"Normal",AND(AH119&lt;=5,$BK$28&lt;=4),VLOOKUP(AF119,$BK$29:$BN$39,2),AND(AH119&lt;=5,$BK$28&gt;=9),VLOOKUP(AF119,$BK$29:$BN$39,2), 1=1, "Normal"))</f>
        <v/>
      </c>
      <c r="G116" t="str" cm="1">
        <f t="array" aca="1" ref="G116" ca="1">IF(D116="","",_xlfn.IFS(AH119&gt;5, "Normal", AND(AH119&lt;=5, $BL$28&lt;=8, $BL$28&gt;=5), VLOOKUP(AG119,$BK$29:$BN$39,3), AND(AH119&lt;=5,$BK$28&gt;=9), VLOOKUP(AG119,$BK$29:$BN$39,3), 1=1, "Normal"))</f>
        <v/>
      </c>
      <c r="H116" t="str">
        <f t="shared" ca="1" si="28"/>
        <v/>
      </c>
      <c r="I116" t="str">
        <f t="shared" ca="1" si="29"/>
        <v/>
      </c>
      <c r="K116" t="str" cm="1">
        <f t="array" aca="1" ref="K116" ca="1">IF(L116="","",(_xlfn.IFS(L116&gt;=15000,VLOOKUP(AW119,$BE$5:$BH$15,4),L116&gt;=4000,VLOOKUP(AW119,$BE$5:$BH$15,3),L116&gt;=100,VLOOKUP(AW119,$BE$5:$BH$15,2))))</f>
        <v/>
      </c>
      <c r="L116" t="str">
        <f t="shared" ca="1" si="30"/>
        <v/>
      </c>
      <c r="AF116" s="1">
        <f t="shared" ca="1" si="34"/>
        <v>7</v>
      </c>
      <c r="AG116" s="1">
        <f t="shared" ca="1" si="34"/>
        <v>8</v>
      </c>
      <c r="AH116" s="1">
        <f t="shared" ca="1" si="35"/>
        <v>32</v>
      </c>
      <c r="AI116" s="1">
        <f t="shared" ca="1" si="32"/>
        <v>2</v>
      </c>
      <c r="AJ116" s="1">
        <f t="shared" ca="1" si="33"/>
        <v>4</v>
      </c>
      <c r="AO116" s="1">
        <f t="shared" ca="1" si="36"/>
        <v>76</v>
      </c>
      <c r="AP116" s="1">
        <f t="shared" ca="1" si="37"/>
        <v>-40</v>
      </c>
      <c r="AS116" s="1">
        <f t="shared" ca="1" si="38"/>
        <v>57</v>
      </c>
      <c r="AV116" s="1">
        <f t="shared" ca="1" si="39"/>
        <v>-97</v>
      </c>
      <c r="AW116" s="1">
        <f t="shared" ca="1" si="40"/>
        <v>8</v>
      </c>
      <c r="AX116">
        <v>42</v>
      </c>
      <c r="AY116" t="s">
        <v>38</v>
      </c>
      <c r="AZ116">
        <v>500</v>
      </c>
      <c r="BE116">
        <v>99</v>
      </c>
      <c r="BF116" t="s">
        <v>101</v>
      </c>
      <c r="BG116" t="s">
        <v>108</v>
      </c>
      <c r="DG116">
        <v>112</v>
      </c>
      <c r="DH116" t="s">
        <v>452</v>
      </c>
    </row>
    <row r="117" spans="4:112" x14ac:dyDescent="0.3">
      <c r="D117" t="str">
        <f t="shared" ca="1" si="31"/>
        <v/>
      </c>
      <c r="E117" t="str" cm="1">
        <f t="array" aca="1" ref="E117" ca="1">_xlfn.IFS(D117="","",D117="Starstone", VLOOKUP($BK$4,$BK$6:$BM$11,3)*AI120*AJ120, D117 = "Tristal", VLOOKUP($BK$14,$BK$16:$BM$24,3)*AI120*AJ120, 1=1, VLOOKUP(AO120,$AX$75:$AZ$174,3)*AI120*AJ120)</f>
        <v/>
      </c>
      <c r="F117" t="str" cm="1">
        <f t="array" aca="1" ref="F117" ca="1">IF(D117="","",_xlfn.IFS(AH120&gt;5,"Normal",AND(AH120&lt;=5,$BK$28&lt;=4),VLOOKUP(AF120,$BK$29:$BN$39,2),AND(AH120&lt;=5,$BK$28&gt;=9),VLOOKUP(AF120,$BK$29:$BN$39,2), 1=1, "Normal"))</f>
        <v/>
      </c>
      <c r="G117" t="str" cm="1">
        <f t="array" aca="1" ref="G117" ca="1">IF(D117="","",_xlfn.IFS(AH120&gt;5, "Normal", AND(AH120&lt;=5, $BL$28&lt;=8, $BL$28&gt;=5), VLOOKUP(AG120,$BK$29:$BN$39,3), AND(AH120&lt;=5,$BK$28&gt;=9), VLOOKUP(AG120,$BK$29:$BN$39,3), 1=1, "Normal"))</f>
        <v/>
      </c>
      <c r="H117" t="str">
        <f t="shared" ca="1" si="28"/>
        <v/>
      </c>
      <c r="I117" t="str">
        <f t="shared" ca="1" si="29"/>
        <v/>
      </c>
      <c r="K117" t="str" cm="1">
        <f t="array" aca="1" ref="K117" ca="1">IF(L117="","",(_xlfn.IFS(L117&gt;=15000,VLOOKUP(AW120,$BE$5:$BH$15,4),L117&gt;=4000,VLOOKUP(AW120,$BE$5:$BH$15,3),L117&gt;=100,VLOOKUP(AW120,$BE$5:$BH$15,2))))</f>
        <v/>
      </c>
      <c r="L117" t="str">
        <f t="shared" ca="1" si="30"/>
        <v/>
      </c>
      <c r="AF117" s="1">
        <f t="shared" ca="1" si="34"/>
        <v>2</v>
      </c>
      <c r="AG117" s="1">
        <f t="shared" ca="1" si="34"/>
        <v>10</v>
      </c>
      <c r="AH117" s="1">
        <f t="shared" ca="1" si="35"/>
        <v>21</v>
      </c>
      <c r="AI117" s="1">
        <f t="shared" ca="1" si="32"/>
        <v>0.25</v>
      </c>
      <c r="AJ117" s="1">
        <f t="shared" ca="1" si="33"/>
        <v>8</v>
      </c>
      <c r="AO117" s="1">
        <f t="shared" ca="1" si="36"/>
        <v>21</v>
      </c>
      <c r="AP117" s="1">
        <f t="shared" ca="1" si="37"/>
        <v>-41</v>
      </c>
      <c r="AS117" s="1">
        <f t="shared" ca="1" si="38"/>
        <v>4</v>
      </c>
      <c r="AV117" s="1">
        <f t="shared" ca="1" si="39"/>
        <v>-98</v>
      </c>
      <c r="AW117" s="1">
        <f t="shared" ca="1" si="40"/>
        <v>7</v>
      </c>
      <c r="AX117">
        <v>43</v>
      </c>
      <c r="AY117" t="s">
        <v>39</v>
      </c>
      <c r="AZ117">
        <v>500</v>
      </c>
      <c r="BE117">
        <v>100</v>
      </c>
      <c r="BF117" t="s">
        <v>101</v>
      </c>
      <c r="BG117" t="s">
        <v>108</v>
      </c>
      <c r="DG117">
        <v>113</v>
      </c>
      <c r="DH117" t="s">
        <v>453</v>
      </c>
    </row>
    <row r="118" spans="4:112" x14ac:dyDescent="0.3">
      <c r="D118" t="str">
        <f t="shared" ca="1" si="31"/>
        <v/>
      </c>
      <c r="E118" t="str" cm="1">
        <f t="array" aca="1" ref="E118" ca="1">_xlfn.IFS(D118="","",D118="Starstone", VLOOKUP($BK$4,$BK$6:$BM$11,3)*AI121*AJ121, D118 = "Tristal", VLOOKUP($BK$14,$BK$16:$BM$24,3)*AI121*AJ121, 1=1, VLOOKUP(AO121,$AX$75:$AZ$174,3)*AI121*AJ121)</f>
        <v/>
      </c>
      <c r="F118" t="str" cm="1">
        <f t="array" aca="1" ref="F118" ca="1">IF(D118="","",_xlfn.IFS(AH121&gt;5,"Normal",AND(AH121&lt;=5,$BK$28&lt;=4),VLOOKUP(AF121,$BK$29:$BN$39,2),AND(AH121&lt;=5,$BK$28&gt;=9),VLOOKUP(AF121,$BK$29:$BN$39,2), 1=1, "Normal"))</f>
        <v/>
      </c>
      <c r="G118" t="str" cm="1">
        <f t="array" aca="1" ref="G118" ca="1">IF(D118="","",_xlfn.IFS(AH121&gt;5, "Normal", AND(AH121&lt;=5, $BL$28&lt;=8, $BL$28&gt;=5), VLOOKUP(AG121,$BK$29:$BN$39,3), AND(AH121&lt;=5,$BK$28&gt;=9), VLOOKUP(AG121,$BK$29:$BN$39,3), 1=1, "Normal"))</f>
        <v/>
      </c>
      <c r="H118" t="str">
        <f t="shared" ca="1" si="28"/>
        <v/>
      </c>
      <c r="I118" t="str">
        <f t="shared" ca="1" si="29"/>
        <v/>
      </c>
      <c r="K118" t="str" cm="1">
        <f t="array" aca="1" ref="K118" ca="1">IF(L118="","",(_xlfn.IFS(L118&gt;=15000,VLOOKUP(AW121,$BE$5:$BH$15,4),L118&gt;=4000,VLOOKUP(AW121,$BE$5:$BH$15,3),L118&gt;=100,VLOOKUP(AW121,$BE$5:$BH$15,2))))</f>
        <v/>
      </c>
      <c r="L118" t="str">
        <f t="shared" ca="1" si="30"/>
        <v/>
      </c>
      <c r="AF118" s="1">
        <f t="shared" ca="1" si="34"/>
        <v>6</v>
      </c>
      <c r="AG118" s="1">
        <f t="shared" ca="1" si="34"/>
        <v>4</v>
      </c>
      <c r="AH118" s="1">
        <f t="shared" ca="1" si="35"/>
        <v>20</v>
      </c>
      <c r="AI118" s="1">
        <f t="shared" ca="1" si="32"/>
        <v>2</v>
      </c>
      <c r="AJ118" s="1">
        <f t="shared" ca="1" si="33"/>
        <v>0.5</v>
      </c>
      <c r="AO118" s="1">
        <f t="shared" ca="1" si="36"/>
        <v>73</v>
      </c>
      <c r="AP118" s="1">
        <f t="shared" ca="1" si="37"/>
        <v>-42</v>
      </c>
      <c r="AS118" s="1">
        <f t="shared" ca="1" si="38"/>
        <v>82</v>
      </c>
      <c r="AV118" s="1">
        <f t="shared" ca="1" si="39"/>
        <v>-99</v>
      </c>
      <c r="AW118" s="1">
        <f t="shared" ca="1" si="40"/>
        <v>10</v>
      </c>
      <c r="AX118">
        <v>44</v>
      </c>
      <c r="AY118" t="s">
        <v>37</v>
      </c>
      <c r="AZ118">
        <v>500</v>
      </c>
      <c r="DG118">
        <v>114</v>
      </c>
      <c r="DH118" t="s">
        <v>454</v>
      </c>
    </row>
    <row r="119" spans="4:112" x14ac:dyDescent="0.3">
      <c r="D119" t="str">
        <f t="shared" ca="1" si="31"/>
        <v/>
      </c>
      <c r="E119" t="str" cm="1">
        <f t="array" aca="1" ref="E119" ca="1">_xlfn.IFS(D119="","",D119="Starstone", VLOOKUP($BK$4,$BK$6:$BM$11,3)*AI122*AJ122, D119 = "Tristal", VLOOKUP($BK$14,$BK$16:$BM$24,3)*AI122*AJ122, 1=1, VLOOKUP(AO122,$AX$75:$AZ$174,3)*AI122*AJ122)</f>
        <v/>
      </c>
      <c r="F119" t="str" cm="1">
        <f t="array" aca="1" ref="F119" ca="1">IF(D119="","",_xlfn.IFS(AH122&gt;5,"Normal",AND(AH122&lt;=5,$BK$28&lt;=4),VLOOKUP(AF122,$BK$29:$BN$39,2),AND(AH122&lt;=5,$BK$28&gt;=9),VLOOKUP(AF122,$BK$29:$BN$39,2), 1=1, "Normal"))</f>
        <v/>
      </c>
      <c r="G119" t="str" cm="1">
        <f t="array" aca="1" ref="G119" ca="1">IF(D119="","",_xlfn.IFS(AH122&gt;5, "Normal", AND(AH122&lt;=5, $BL$28&lt;=8, $BL$28&gt;=5), VLOOKUP(AG122,$BK$29:$BN$39,3), AND(AH122&lt;=5,$BK$28&gt;=9), VLOOKUP(AG122,$BK$29:$BN$39,3), 1=1, "Normal"))</f>
        <v/>
      </c>
      <c r="H119" t="str">
        <f t="shared" ca="1" si="28"/>
        <v/>
      </c>
      <c r="I119" t="str">
        <f t="shared" ca="1" si="29"/>
        <v/>
      </c>
      <c r="K119" t="str" cm="1">
        <f t="array" aca="1" ref="K119" ca="1">IF(L119="","",(_xlfn.IFS(L119&gt;=15000,VLOOKUP(AW122,$BE$5:$BH$15,4),L119&gt;=4000,VLOOKUP(AW122,$BE$5:$BH$15,3),L119&gt;=100,VLOOKUP(AW122,$BE$5:$BH$15,2))))</f>
        <v/>
      </c>
      <c r="L119" t="str">
        <f t="shared" ca="1" si="30"/>
        <v/>
      </c>
      <c r="AF119" s="1">
        <f t="shared" ca="1" si="34"/>
        <v>3</v>
      </c>
      <c r="AG119" s="1">
        <f t="shared" ca="1" si="34"/>
        <v>1</v>
      </c>
      <c r="AH119" s="1">
        <f t="shared" ca="1" si="35"/>
        <v>50</v>
      </c>
      <c r="AI119" s="1">
        <f t="shared" ca="1" si="32"/>
        <v>0.25</v>
      </c>
      <c r="AJ119" s="1">
        <f t="shared" ca="1" si="33"/>
        <v>0.125</v>
      </c>
      <c r="AO119" s="1">
        <f t="shared" ca="1" si="36"/>
        <v>31</v>
      </c>
      <c r="AP119" s="1">
        <f t="shared" ca="1" si="37"/>
        <v>-43</v>
      </c>
      <c r="AS119" s="1">
        <f t="shared" ca="1" si="38"/>
        <v>20</v>
      </c>
      <c r="AV119" s="1">
        <f t="shared" ca="1" si="39"/>
        <v>-100</v>
      </c>
      <c r="AW119" s="1">
        <f t="shared" ca="1" si="40"/>
        <v>1</v>
      </c>
      <c r="AX119">
        <v>45</v>
      </c>
      <c r="AY119" t="s">
        <v>38</v>
      </c>
      <c r="AZ119">
        <v>500</v>
      </c>
      <c r="DG119">
        <v>115</v>
      </c>
      <c r="DH119" t="s">
        <v>225</v>
      </c>
    </row>
    <row r="120" spans="4:112" x14ac:dyDescent="0.3">
      <c r="D120" t="str">
        <f t="shared" ca="1" si="31"/>
        <v/>
      </c>
      <c r="E120" t="str" cm="1">
        <f t="array" aca="1" ref="E120" ca="1">_xlfn.IFS(D120="","",D120="Starstone", VLOOKUP($BK$4,$BK$6:$BM$11,3)*AI123*AJ123, D120 = "Tristal", VLOOKUP($BK$14,$BK$16:$BM$24,3)*AI123*AJ123, 1=1, VLOOKUP(AO123,$AX$75:$AZ$174,3)*AI123*AJ123)</f>
        <v/>
      </c>
      <c r="F120" t="str" cm="1">
        <f t="array" aca="1" ref="F120" ca="1">IF(D120="","",_xlfn.IFS(AH123&gt;5,"Normal",AND(AH123&lt;=5,$BK$28&lt;=4),VLOOKUP(AF123,$BK$29:$BN$39,2),AND(AH123&lt;=5,$BK$28&gt;=9),VLOOKUP(AF123,$BK$29:$BN$39,2), 1=1, "Normal"))</f>
        <v/>
      </c>
      <c r="G120" t="str" cm="1">
        <f t="array" aca="1" ref="G120" ca="1">IF(D120="","",_xlfn.IFS(AH123&gt;5, "Normal", AND(AH123&lt;=5, $BL$28&lt;=8, $BL$28&gt;=5), VLOOKUP(AG123,$BK$29:$BN$39,3), AND(AH123&lt;=5,$BK$28&gt;=9), VLOOKUP(AG123,$BK$29:$BN$39,3), 1=1, "Normal"))</f>
        <v/>
      </c>
      <c r="H120" t="str">
        <f t="shared" ca="1" si="28"/>
        <v/>
      </c>
      <c r="I120" t="str">
        <f t="shared" ca="1" si="29"/>
        <v/>
      </c>
      <c r="K120" t="str" cm="1">
        <f t="array" aca="1" ref="K120" ca="1">IF(L120="","",(_xlfn.IFS(L120&gt;=15000,VLOOKUP(AW123,$BE$5:$BH$15,4),L120&gt;=4000,VLOOKUP(AW123,$BE$5:$BH$15,3),L120&gt;=100,VLOOKUP(AW123,$BE$5:$BH$15,2))))</f>
        <v/>
      </c>
      <c r="L120" t="str">
        <f t="shared" ca="1" si="30"/>
        <v/>
      </c>
      <c r="AF120" s="1">
        <f t="shared" ca="1" si="34"/>
        <v>3</v>
      </c>
      <c r="AG120" s="1">
        <f t="shared" ca="1" si="34"/>
        <v>3</v>
      </c>
      <c r="AH120" s="1">
        <f t="shared" ca="1" si="35"/>
        <v>16</v>
      </c>
      <c r="AI120" s="1">
        <f t="shared" ca="1" si="32"/>
        <v>0.25</v>
      </c>
      <c r="AJ120" s="1">
        <f t="shared" ca="1" si="33"/>
        <v>0.25</v>
      </c>
      <c r="AO120" s="1">
        <f t="shared" ca="1" si="36"/>
        <v>77</v>
      </c>
      <c r="AP120" s="1">
        <f t="shared" ca="1" si="37"/>
        <v>-44</v>
      </c>
      <c r="AS120" s="1">
        <f t="shared" ca="1" si="38"/>
        <v>81</v>
      </c>
      <c r="AV120" s="1">
        <f t="shared" ca="1" si="39"/>
        <v>-101</v>
      </c>
      <c r="AW120" s="1">
        <f t="shared" ca="1" si="40"/>
        <v>1</v>
      </c>
      <c r="AX120">
        <v>46</v>
      </c>
      <c r="AY120" t="s">
        <v>39</v>
      </c>
      <c r="AZ120">
        <v>500</v>
      </c>
      <c r="DG120">
        <v>116</v>
      </c>
      <c r="DH120" t="s">
        <v>455</v>
      </c>
    </row>
    <row r="121" spans="4:112" x14ac:dyDescent="0.3">
      <c r="D121" t="str">
        <f t="shared" ca="1" si="31"/>
        <v/>
      </c>
      <c r="E121" t="str" cm="1">
        <f t="array" aca="1" ref="E121" ca="1">_xlfn.IFS(D121="","",D121="Starstone", VLOOKUP($BK$4,$BK$6:$BM$11,3)*AI124*AJ124, D121 = "Tristal", VLOOKUP($BK$14,$BK$16:$BM$24,3)*AI124*AJ124, 1=1, VLOOKUP(AO124,$AX$75:$AZ$174,3)*AI124*AJ124)</f>
        <v/>
      </c>
      <c r="F121" t="str" cm="1">
        <f t="array" aca="1" ref="F121" ca="1">IF(D121="","",_xlfn.IFS(AH124&gt;5,"Normal",AND(AH124&lt;=5,$BK$28&lt;=4),VLOOKUP(AF124,$BK$29:$BN$39,2),AND(AH124&lt;=5,$BK$28&gt;=9),VLOOKUP(AF124,$BK$29:$BN$39,2), 1=1, "Normal"))</f>
        <v/>
      </c>
      <c r="G121" t="str" cm="1">
        <f t="array" aca="1" ref="G121" ca="1">IF(D121="","",_xlfn.IFS(AH124&gt;5, "Normal", AND(AH124&lt;=5, $BL$28&lt;=8, $BL$28&gt;=5), VLOOKUP(AG124,$BK$29:$BN$39,3), AND(AH124&lt;=5,$BK$28&gt;=9), VLOOKUP(AG124,$BK$29:$BN$39,3), 1=1, "Normal"))</f>
        <v/>
      </c>
      <c r="H121" t="str">
        <f t="shared" ca="1" si="28"/>
        <v/>
      </c>
      <c r="I121" t="str">
        <f t="shared" ca="1" si="29"/>
        <v/>
      </c>
      <c r="K121" t="str" cm="1">
        <f t="array" aca="1" ref="K121" ca="1">IF(L121="","",(_xlfn.IFS(L121&gt;=15000,VLOOKUP(AW124,$BE$5:$BH$15,4),L121&gt;=4000,VLOOKUP(AW124,$BE$5:$BH$15,3),L121&gt;=100,VLOOKUP(AW124,$BE$5:$BH$15,2))))</f>
        <v/>
      </c>
      <c r="L121" t="str">
        <f t="shared" ca="1" si="30"/>
        <v/>
      </c>
      <c r="AF121" s="1">
        <f t="shared" ca="1" si="34"/>
        <v>8</v>
      </c>
      <c r="AG121" s="1">
        <f t="shared" ca="1" si="34"/>
        <v>2</v>
      </c>
      <c r="AH121" s="1">
        <f t="shared" ca="1" si="35"/>
        <v>59</v>
      </c>
      <c r="AI121" s="1">
        <f t="shared" ca="1" si="32"/>
        <v>4</v>
      </c>
      <c r="AJ121" s="1">
        <f t="shared" ca="1" si="33"/>
        <v>0.25</v>
      </c>
      <c r="AO121" s="1">
        <f t="shared" ca="1" si="36"/>
        <v>16</v>
      </c>
      <c r="AP121" s="1">
        <f t="shared" ca="1" si="37"/>
        <v>-45</v>
      </c>
      <c r="AS121" s="1">
        <f t="shared" ca="1" si="38"/>
        <v>76</v>
      </c>
      <c r="AV121" s="1">
        <f t="shared" ca="1" si="39"/>
        <v>-102</v>
      </c>
      <c r="AW121" s="1">
        <f t="shared" ca="1" si="40"/>
        <v>2</v>
      </c>
      <c r="AX121">
        <v>47</v>
      </c>
      <c r="AY121" t="s">
        <v>40</v>
      </c>
      <c r="AZ121">
        <v>1000</v>
      </c>
      <c r="DG121">
        <v>117</v>
      </c>
      <c r="DH121" t="s">
        <v>456</v>
      </c>
    </row>
    <row r="122" spans="4:112" x14ac:dyDescent="0.3">
      <c r="D122" t="str">
        <f t="shared" ca="1" si="31"/>
        <v/>
      </c>
      <c r="E122" t="str" cm="1">
        <f t="array" aca="1" ref="E122" ca="1">_xlfn.IFS(D122="","",D122="Starstone", VLOOKUP($BK$4,$BK$6:$BM$11,3)*AI125*AJ125, D122 = "Tristal", VLOOKUP($BK$14,$BK$16:$BM$24,3)*AI125*AJ125, 1=1, VLOOKUP(AO125,$AX$75:$AZ$174,3)*AI125*AJ125)</f>
        <v/>
      </c>
      <c r="F122" t="str" cm="1">
        <f t="array" aca="1" ref="F122" ca="1">IF(D122="","",_xlfn.IFS(AH125&gt;5,"Normal",AND(AH125&lt;=5,$BK$28&lt;=4),VLOOKUP(AF125,$BK$29:$BN$39,2),AND(AH125&lt;=5,$BK$28&gt;=9),VLOOKUP(AF125,$BK$29:$BN$39,2), 1=1, "Normal"))</f>
        <v/>
      </c>
      <c r="G122" t="str" cm="1">
        <f t="array" aca="1" ref="G122" ca="1">IF(D122="","",_xlfn.IFS(AH125&gt;5, "Normal", AND(AH125&lt;=5, $BL$28&lt;=8, $BL$28&gt;=5), VLOOKUP(AG125,$BK$29:$BN$39,3), AND(AH125&lt;=5,$BK$28&gt;=9), VLOOKUP(AG125,$BK$29:$BN$39,3), 1=1, "Normal"))</f>
        <v/>
      </c>
      <c r="H122" t="str">
        <f t="shared" ca="1" si="28"/>
        <v/>
      </c>
      <c r="I122" t="str">
        <f t="shared" ca="1" si="29"/>
        <v/>
      </c>
      <c r="K122" t="str" cm="1">
        <f t="array" aca="1" ref="K122" ca="1">IF(L122="","",(_xlfn.IFS(L122&gt;=15000,VLOOKUP(AW125,$BE$5:$BH$15,4),L122&gt;=4000,VLOOKUP(AW125,$BE$5:$BH$15,3),L122&gt;=100,VLOOKUP(AW125,$BE$5:$BH$15,2))))</f>
        <v/>
      </c>
      <c r="L122" t="str">
        <f t="shared" ca="1" si="30"/>
        <v/>
      </c>
      <c r="AF122" s="1">
        <f t="shared" ca="1" si="34"/>
        <v>4</v>
      </c>
      <c r="AG122" s="1">
        <f t="shared" ca="1" si="34"/>
        <v>6</v>
      </c>
      <c r="AH122" s="1">
        <f t="shared" ca="1" si="35"/>
        <v>15</v>
      </c>
      <c r="AI122" s="1">
        <f t="shared" ca="1" si="32"/>
        <v>0.5</v>
      </c>
      <c r="AJ122" s="1">
        <f t="shared" ca="1" si="33"/>
        <v>2</v>
      </c>
      <c r="AO122" s="1">
        <f t="shared" ca="1" si="36"/>
        <v>52</v>
      </c>
      <c r="AP122" s="1">
        <f t="shared" ca="1" si="37"/>
        <v>-46</v>
      </c>
      <c r="AS122" s="1">
        <f t="shared" ca="1" si="38"/>
        <v>51</v>
      </c>
      <c r="AV122" s="1">
        <f t="shared" ca="1" si="39"/>
        <v>-103</v>
      </c>
      <c r="AW122" s="1">
        <f t="shared" ca="1" si="40"/>
        <v>1</v>
      </c>
      <c r="AX122">
        <v>48</v>
      </c>
      <c r="AY122" t="s">
        <v>40</v>
      </c>
      <c r="AZ122">
        <v>1000</v>
      </c>
    </row>
    <row r="123" spans="4:112" x14ac:dyDescent="0.3">
      <c r="D123" t="str">
        <f t="shared" ca="1" si="31"/>
        <v/>
      </c>
      <c r="E123" t="str" cm="1">
        <f t="array" aca="1" ref="E123" ca="1">_xlfn.IFS(D123="","",D123="Starstone", VLOOKUP($BK$4,$BK$6:$BM$11,3)*AI126*AJ126, D123 = "Tristal", VLOOKUP($BK$14,$BK$16:$BM$24,3)*AI126*AJ126, 1=1, VLOOKUP(AO126,$AX$75:$AZ$174,3)*AI126*AJ126)</f>
        <v/>
      </c>
      <c r="F123" t="str" cm="1">
        <f t="array" aca="1" ref="F123" ca="1">IF(D123="","",_xlfn.IFS(AH126&gt;5,"Normal",AND(AH126&lt;=5,$BK$28&lt;=4),VLOOKUP(AF126,$BK$29:$BN$39,2),AND(AH126&lt;=5,$BK$28&gt;=9),VLOOKUP(AF126,$BK$29:$BN$39,2), 1=1, "Normal"))</f>
        <v/>
      </c>
      <c r="G123" t="str" cm="1">
        <f t="array" aca="1" ref="G123" ca="1">IF(D123="","",_xlfn.IFS(AH126&gt;5, "Normal", AND(AH126&lt;=5, $BL$28&lt;=8, $BL$28&gt;=5), VLOOKUP(AG126,$BK$29:$BN$39,3), AND(AH126&lt;=5,$BK$28&gt;=9), VLOOKUP(AG126,$BK$29:$BN$39,3), 1=1, "Normal"))</f>
        <v/>
      </c>
      <c r="H123" t="str">
        <f t="shared" ca="1" si="28"/>
        <v/>
      </c>
      <c r="I123" t="str">
        <f t="shared" ca="1" si="29"/>
        <v/>
      </c>
      <c r="K123" t="str" cm="1">
        <f t="array" aca="1" ref="K123" ca="1">IF(L123="","",(_xlfn.IFS(L123&gt;=15000,VLOOKUP(AW126,$BE$5:$BH$15,4),L123&gt;=4000,VLOOKUP(AW126,$BE$5:$BH$15,3),L123&gt;=100,VLOOKUP(AW126,$BE$5:$BH$15,2))))</f>
        <v/>
      </c>
      <c r="L123" t="str">
        <f t="shared" ca="1" si="30"/>
        <v/>
      </c>
      <c r="AF123" s="1">
        <f t="shared" ca="1" si="34"/>
        <v>8</v>
      </c>
      <c r="AG123" s="1">
        <f t="shared" ca="1" si="34"/>
        <v>7</v>
      </c>
      <c r="AH123" s="1">
        <f t="shared" ca="1" si="35"/>
        <v>99</v>
      </c>
      <c r="AI123" s="1">
        <f t="shared" ca="1" si="32"/>
        <v>4</v>
      </c>
      <c r="AJ123" s="1">
        <f t="shared" ca="1" si="33"/>
        <v>2</v>
      </c>
      <c r="AO123" s="1">
        <f t="shared" ca="1" si="36"/>
        <v>27</v>
      </c>
      <c r="AP123" s="1">
        <f t="shared" ca="1" si="37"/>
        <v>-47</v>
      </c>
      <c r="AS123" s="1">
        <f t="shared" ca="1" si="38"/>
        <v>69</v>
      </c>
      <c r="AV123" s="1">
        <f t="shared" ca="1" si="39"/>
        <v>-104</v>
      </c>
      <c r="AW123" s="1">
        <f t="shared" ca="1" si="40"/>
        <v>4</v>
      </c>
      <c r="AX123">
        <v>49</v>
      </c>
      <c r="AY123" t="s">
        <v>40</v>
      </c>
      <c r="AZ123">
        <v>1000</v>
      </c>
    </row>
    <row r="124" spans="4:112" x14ac:dyDescent="0.3">
      <c r="D124" t="str">
        <f t="shared" ca="1" si="31"/>
        <v/>
      </c>
      <c r="E124" t="str" cm="1">
        <f t="array" aca="1" ref="E124" ca="1">_xlfn.IFS(D124="","",D124="Starstone", VLOOKUP($BK$4,$BK$6:$BM$11,3)*AI127*AJ127, D124 = "Tristal", VLOOKUP($BK$14,$BK$16:$BM$24,3)*AI127*AJ127, 1=1, VLOOKUP(AO127,$AX$75:$AZ$174,3)*AI127*AJ127)</f>
        <v/>
      </c>
      <c r="F124" t="str" cm="1">
        <f t="array" aca="1" ref="F124" ca="1">IF(D124="","",_xlfn.IFS(AH127&gt;5,"Normal",AND(AH127&lt;=5,$BK$28&lt;=4),VLOOKUP(AF127,$BK$29:$BN$39,2),AND(AH127&lt;=5,$BK$28&gt;=9),VLOOKUP(AF127,$BK$29:$BN$39,2), 1=1, "Normal"))</f>
        <v/>
      </c>
      <c r="G124" t="str" cm="1">
        <f t="array" aca="1" ref="G124" ca="1">IF(D124="","",_xlfn.IFS(AH127&gt;5, "Normal", AND(AH127&lt;=5, $BL$28&lt;=8, $BL$28&gt;=5), VLOOKUP(AG127,$BK$29:$BN$39,3), AND(AH127&lt;=5,$BK$28&gt;=9), VLOOKUP(AG127,$BK$29:$BN$39,3), 1=1, "Normal"))</f>
        <v/>
      </c>
      <c r="H124" t="str">
        <f t="shared" ca="1" si="28"/>
        <v/>
      </c>
      <c r="I124" t="str">
        <f t="shared" ca="1" si="29"/>
        <v/>
      </c>
      <c r="K124" t="str" cm="1">
        <f t="array" aca="1" ref="K124" ca="1">IF(L124="","",(_xlfn.IFS(L124&gt;=15000,VLOOKUP(AW127,$BE$5:$BH$15,4),L124&gt;=4000,VLOOKUP(AW127,$BE$5:$BH$15,3),L124&gt;=100,VLOOKUP(AW127,$BE$5:$BH$15,2))))</f>
        <v/>
      </c>
      <c r="L124" t="str">
        <f t="shared" ca="1" si="30"/>
        <v/>
      </c>
      <c r="AF124" s="1">
        <f t="shared" ca="1" si="34"/>
        <v>6</v>
      </c>
      <c r="AG124" s="1">
        <f t="shared" ca="1" si="34"/>
        <v>2</v>
      </c>
      <c r="AH124" s="1">
        <f t="shared" ca="1" si="35"/>
        <v>61</v>
      </c>
      <c r="AI124" s="1">
        <f t="shared" ca="1" si="32"/>
        <v>2</v>
      </c>
      <c r="AJ124" s="1">
        <f t="shared" ca="1" si="33"/>
        <v>0.25</v>
      </c>
      <c r="AO124" s="1">
        <f t="shared" ca="1" si="36"/>
        <v>29</v>
      </c>
      <c r="AP124" s="1">
        <f t="shared" ca="1" si="37"/>
        <v>-48</v>
      </c>
      <c r="AS124" s="1">
        <f t="shared" ca="1" si="38"/>
        <v>42</v>
      </c>
      <c r="AV124" s="1">
        <f t="shared" ca="1" si="39"/>
        <v>-105</v>
      </c>
      <c r="AW124" s="1">
        <f t="shared" ca="1" si="40"/>
        <v>3</v>
      </c>
      <c r="AX124">
        <v>50</v>
      </c>
      <c r="AY124" t="s">
        <v>40</v>
      </c>
      <c r="AZ124">
        <v>1000</v>
      </c>
    </row>
    <row r="125" spans="4:112" x14ac:dyDescent="0.3">
      <c r="D125" t="str">
        <f t="shared" ca="1" si="31"/>
        <v/>
      </c>
      <c r="E125" t="str" cm="1">
        <f t="array" aca="1" ref="E125" ca="1">_xlfn.IFS(D125="","",D125="Starstone", VLOOKUP($BK$4,$BK$6:$BM$11,3)*AI128*AJ128, D125 = "Tristal", VLOOKUP($BK$14,$BK$16:$BM$24,3)*AI128*AJ128, 1=1, VLOOKUP(AO128,$AX$75:$AZ$174,3)*AI128*AJ128)</f>
        <v/>
      </c>
      <c r="F125" t="str" cm="1">
        <f t="array" aca="1" ref="F125" ca="1">IF(D125="","",_xlfn.IFS(AH128&gt;5,"Normal",AND(AH128&lt;=5,$BK$28&lt;=4),VLOOKUP(AF128,$BK$29:$BN$39,2),AND(AH128&lt;=5,$BK$28&gt;=9),VLOOKUP(AF128,$BK$29:$BN$39,2), 1=1, "Normal"))</f>
        <v/>
      </c>
      <c r="G125" t="str" cm="1">
        <f t="array" aca="1" ref="G125" ca="1">IF(D125="","",_xlfn.IFS(AH128&gt;5, "Normal", AND(AH128&lt;=5, $BL$28&lt;=8, $BL$28&gt;=5), VLOOKUP(AG128,$BK$29:$BN$39,3), AND(AH128&lt;=5,$BK$28&gt;=9), VLOOKUP(AG128,$BK$29:$BN$39,3), 1=1, "Normal"))</f>
        <v/>
      </c>
      <c r="H125" t="str">
        <f t="shared" ca="1" si="28"/>
        <v/>
      </c>
      <c r="I125" t="str">
        <f t="shared" ca="1" si="29"/>
        <v/>
      </c>
      <c r="K125" t="str" cm="1">
        <f t="array" aca="1" ref="K125" ca="1">IF(L125="","",(_xlfn.IFS(L125&gt;=15000,VLOOKUP(AW128,$BE$5:$BH$15,4),L125&gt;=4000,VLOOKUP(AW128,$BE$5:$BH$15,3),L125&gt;=100,VLOOKUP(AW128,$BE$5:$BH$15,2))))</f>
        <v/>
      </c>
      <c r="L125" t="str">
        <f t="shared" ca="1" si="30"/>
        <v/>
      </c>
      <c r="AF125" s="1">
        <f t="shared" ca="1" si="34"/>
        <v>7</v>
      </c>
      <c r="AG125" s="1">
        <f t="shared" ca="1" si="34"/>
        <v>9</v>
      </c>
      <c r="AH125" s="1">
        <f t="shared" ca="1" si="35"/>
        <v>74</v>
      </c>
      <c r="AI125" s="1">
        <f t="shared" ca="1" si="32"/>
        <v>2</v>
      </c>
      <c r="AJ125" s="1">
        <f t="shared" ca="1" si="33"/>
        <v>4</v>
      </c>
      <c r="AO125" s="1">
        <f t="shared" ca="1" si="36"/>
        <v>62</v>
      </c>
      <c r="AP125" s="1">
        <f t="shared" ca="1" si="37"/>
        <v>-49</v>
      </c>
      <c r="AS125" s="1">
        <f t="shared" ca="1" si="38"/>
        <v>18</v>
      </c>
      <c r="AV125" s="1">
        <f t="shared" ca="1" si="39"/>
        <v>-106</v>
      </c>
      <c r="AW125" s="1">
        <f t="shared" ca="1" si="40"/>
        <v>5</v>
      </c>
      <c r="AX125">
        <v>51</v>
      </c>
      <c r="AY125" t="s">
        <v>40</v>
      </c>
      <c r="AZ125">
        <v>1000</v>
      </c>
    </row>
    <row r="126" spans="4:112" x14ac:dyDescent="0.3">
      <c r="D126" t="str">
        <f t="shared" ca="1" si="31"/>
        <v/>
      </c>
      <c r="E126" t="str" cm="1">
        <f t="array" aca="1" ref="E126" ca="1">_xlfn.IFS(D126="","",D126="Starstone", VLOOKUP($BK$4,$BK$6:$BM$11,3)*AI129*AJ129, D126 = "Tristal", VLOOKUP($BK$14,$BK$16:$BM$24,3)*AI129*AJ129, 1=1, VLOOKUP(AO129,$AX$75:$AZ$174,3)*AI129*AJ129)</f>
        <v/>
      </c>
      <c r="F126" t="str" cm="1">
        <f t="array" aca="1" ref="F126" ca="1">IF(D126="","",_xlfn.IFS(AH129&gt;5,"Normal",AND(AH129&lt;=5,$BK$28&lt;=4),VLOOKUP(AF129,$BK$29:$BN$39,2),AND(AH129&lt;=5,$BK$28&gt;=9),VLOOKUP(AF129,$BK$29:$BN$39,2), 1=1, "Normal"))</f>
        <v/>
      </c>
      <c r="G126" t="str" cm="1">
        <f t="array" aca="1" ref="G126" ca="1">IF(D126="","",_xlfn.IFS(AH129&gt;5, "Normal", AND(AH129&lt;=5, $BL$28&lt;=8, $BL$28&gt;=5), VLOOKUP(AG129,$BK$29:$BN$39,3), AND(AH129&lt;=5,$BK$28&gt;=9), VLOOKUP(AG129,$BK$29:$BN$39,3), 1=1, "Normal"))</f>
        <v/>
      </c>
      <c r="H126" t="str">
        <f t="shared" ca="1" si="28"/>
        <v/>
      </c>
      <c r="I126" t="str">
        <f t="shared" ca="1" si="29"/>
        <v/>
      </c>
      <c r="K126" t="str" cm="1">
        <f t="array" aca="1" ref="K126" ca="1">IF(L126="","",(_xlfn.IFS(L126&gt;=15000,VLOOKUP(AW129,$BE$5:$BH$15,4),L126&gt;=4000,VLOOKUP(AW129,$BE$5:$BH$15,3),L126&gt;=100,VLOOKUP(AW129,$BE$5:$BH$15,2))))</f>
        <v/>
      </c>
      <c r="L126" t="str">
        <f t="shared" ca="1" si="30"/>
        <v/>
      </c>
      <c r="AF126" s="1">
        <f t="shared" ca="1" si="34"/>
        <v>3</v>
      </c>
      <c r="AG126" s="1">
        <f t="shared" ca="1" si="34"/>
        <v>4</v>
      </c>
      <c r="AH126" s="1">
        <f t="shared" ca="1" si="35"/>
        <v>81</v>
      </c>
      <c r="AI126" s="1">
        <f t="shared" ca="1" si="32"/>
        <v>0.25</v>
      </c>
      <c r="AJ126" s="1">
        <f t="shared" ca="1" si="33"/>
        <v>0.5</v>
      </c>
      <c r="AO126" s="1">
        <f t="shared" ca="1" si="36"/>
        <v>95</v>
      </c>
      <c r="AP126" s="1">
        <f t="shared" ca="1" si="37"/>
        <v>-50</v>
      </c>
      <c r="AS126" s="1">
        <f t="shared" ca="1" si="38"/>
        <v>18</v>
      </c>
      <c r="AV126" s="1">
        <f t="shared" ca="1" si="39"/>
        <v>-107</v>
      </c>
      <c r="AW126" s="1">
        <f t="shared" ca="1" si="40"/>
        <v>6</v>
      </c>
      <c r="AX126">
        <v>52</v>
      </c>
      <c r="AY126" t="s">
        <v>40</v>
      </c>
      <c r="AZ126">
        <v>1000</v>
      </c>
    </row>
    <row r="127" spans="4:112" x14ac:dyDescent="0.3">
      <c r="D127" t="str">
        <f t="shared" ca="1" si="31"/>
        <v/>
      </c>
      <c r="E127" t="str" cm="1">
        <f t="array" aca="1" ref="E127" ca="1">_xlfn.IFS(D127="","",D127="Starstone", VLOOKUP($BK$4,$BK$6:$BM$11,3)*AI130*AJ130, D127 = "Tristal", VLOOKUP($BK$14,$BK$16:$BM$24,3)*AI130*AJ130, 1=1, VLOOKUP(AO130,$AX$75:$AZ$174,3)*AI130*AJ130)</f>
        <v/>
      </c>
      <c r="F127" t="str" cm="1">
        <f t="array" aca="1" ref="F127" ca="1">IF(D127="","",_xlfn.IFS(AH130&gt;5,"Normal",AND(AH130&lt;=5,$BK$28&lt;=4),VLOOKUP(AF130,$BK$29:$BN$39,2),AND(AH130&lt;=5,$BK$28&gt;=9),VLOOKUP(AF130,$BK$29:$BN$39,2), 1=1, "Normal"))</f>
        <v/>
      </c>
      <c r="G127" t="str" cm="1">
        <f t="array" aca="1" ref="G127" ca="1">IF(D127="","",_xlfn.IFS(AH130&gt;5, "Normal", AND(AH130&lt;=5, $BL$28&lt;=8, $BL$28&gt;=5), VLOOKUP(AG130,$BK$29:$BN$39,3), AND(AH130&lt;=5,$BK$28&gt;=9), VLOOKUP(AG130,$BK$29:$BN$39,3), 1=1, "Normal"))</f>
        <v/>
      </c>
      <c r="H127" t="str">
        <f t="shared" ca="1" si="28"/>
        <v/>
      </c>
      <c r="I127" t="str">
        <f t="shared" ca="1" si="29"/>
        <v/>
      </c>
      <c r="K127" t="str" cm="1">
        <f t="array" aca="1" ref="K127" ca="1">IF(L127="","",(_xlfn.IFS(L127&gt;=15000,VLOOKUP(AW130,$BE$5:$BH$15,4),L127&gt;=4000,VLOOKUP(AW130,$BE$5:$BH$15,3),L127&gt;=100,VLOOKUP(AW130,$BE$5:$BH$15,2))))</f>
        <v/>
      </c>
      <c r="L127" t="str">
        <f t="shared" ca="1" si="30"/>
        <v/>
      </c>
      <c r="AF127" s="1">
        <f t="shared" ca="1" si="34"/>
        <v>7</v>
      </c>
      <c r="AG127" s="1">
        <f t="shared" ca="1" si="34"/>
        <v>4</v>
      </c>
      <c r="AH127" s="1">
        <f t="shared" ca="1" si="35"/>
        <v>59</v>
      </c>
      <c r="AI127" s="1">
        <f t="shared" ca="1" si="32"/>
        <v>2</v>
      </c>
      <c r="AJ127" s="1">
        <f t="shared" ca="1" si="33"/>
        <v>0.5</v>
      </c>
      <c r="AO127" s="1">
        <f t="shared" ca="1" si="36"/>
        <v>18</v>
      </c>
      <c r="AP127" s="1">
        <f t="shared" ca="1" si="37"/>
        <v>-51</v>
      </c>
      <c r="AS127" s="1">
        <f t="shared" ca="1" si="38"/>
        <v>10</v>
      </c>
      <c r="AV127" s="1">
        <f t="shared" ca="1" si="39"/>
        <v>-108</v>
      </c>
      <c r="AW127" s="1">
        <f t="shared" ca="1" si="40"/>
        <v>4</v>
      </c>
      <c r="AX127">
        <v>53</v>
      </c>
      <c r="AY127" t="s">
        <v>40</v>
      </c>
      <c r="AZ127">
        <v>1000</v>
      </c>
    </row>
    <row r="128" spans="4:112" x14ac:dyDescent="0.3">
      <c r="D128" t="str">
        <f t="shared" ca="1" si="31"/>
        <v/>
      </c>
      <c r="E128" t="str" cm="1">
        <f t="array" aca="1" ref="E128" ca="1">_xlfn.IFS(D128="","",D128="Starstone", VLOOKUP($BK$4,$BK$6:$BM$11,3)*AI131*AJ131, D128 = "Tristal", VLOOKUP($BK$14,$BK$16:$BM$24,3)*AI131*AJ131, 1=1, VLOOKUP(AO131,$AX$75:$AZ$174,3)*AI131*AJ131)</f>
        <v/>
      </c>
      <c r="F128" t="str" cm="1">
        <f t="array" aca="1" ref="F128" ca="1">IF(D128="","",_xlfn.IFS(AH131&gt;5,"Normal",AND(AH131&lt;=5,$BK$28&lt;=4),VLOOKUP(AF131,$BK$29:$BN$39,2),AND(AH131&lt;=5,$BK$28&gt;=9),VLOOKUP(AF131,$BK$29:$BN$39,2), 1=1, "Normal"))</f>
        <v/>
      </c>
      <c r="G128" t="str" cm="1">
        <f t="array" aca="1" ref="G128" ca="1">IF(D128="","",_xlfn.IFS(AH131&gt;5, "Normal", AND(AH131&lt;=5, $BL$28&lt;=8, $BL$28&gt;=5), VLOOKUP(AG131,$BK$29:$BN$39,3), AND(AH131&lt;=5,$BK$28&gt;=9), VLOOKUP(AG131,$BK$29:$BN$39,3), 1=1, "Normal"))</f>
        <v/>
      </c>
      <c r="H128" t="str">
        <f t="shared" ca="1" si="28"/>
        <v/>
      </c>
      <c r="I128" t="str">
        <f t="shared" ca="1" si="29"/>
        <v/>
      </c>
      <c r="K128" t="str" cm="1">
        <f t="array" aca="1" ref="K128" ca="1">IF(L128="","",(_xlfn.IFS(L128&gt;=15000,VLOOKUP(AW131,$BE$5:$BH$15,4),L128&gt;=4000,VLOOKUP(AW131,$BE$5:$BH$15,3),L128&gt;=100,VLOOKUP(AW131,$BE$5:$BH$15,2))))</f>
        <v/>
      </c>
      <c r="L128" t="str">
        <f t="shared" ca="1" si="30"/>
        <v/>
      </c>
      <c r="AF128" s="1">
        <f t="shared" ca="1" si="34"/>
        <v>6</v>
      </c>
      <c r="AG128" s="1">
        <f t="shared" ca="1" si="34"/>
        <v>1</v>
      </c>
      <c r="AH128" s="1">
        <f t="shared" ca="1" si="35"/>
        <v>71</v>
      </c>
      <c r="AI128" s="1">
        <f t="shared" ca="1" si="32"/>
        <v>2</v>
      </c>
      <c r="AJ128" s="1">
        <f t="shared" ca="1" si="33"/>
        <v>0.125</v>
      </c>
      <c r="AO128" s="1">
        <f t="shared" ca="1" si="36"/>
        <v>43</v>
      </c>
      <c r="AP128" s="1">
        <f t="shared" ca="1" si="37"/>
        <v>-52</v>
      </c>
      <c r="AS128" s="1">
        <f t="shared" ca="1" si="38"/>
        <v>37</v>
      </c>
      <c r="AV128" s="1">
        <f t="shared" ca="1" si="39"/>
        <v>-109</v>
      </c>
      <c r="AW128" s="1">
        <f t="shared" ca="1" si="40"/>
        <v>1</v>
      </c>
      <c r="AX128">
        <v>54</v>
      </c>
      <c r="AY128" t="s">
        <v>40</v>
      </c>
      <c r="AZ128">
        <v>1000</v>
      </c>
    </row>
    <row r="129" spans="4:52" x14ac:dyDescent="0.3">
      <c r="D129" t="str">
        <f t="shared" ca="1" si="31"/>
        <v/>
      </c>
      <c r="E129" t="str" cm="1">
        <f t="array" aca="1" ref="E129" ca="1">_xlfn.IFS(D129="","",D129="Starstone", VLOOKUP($BK$4,$BK$6:$BM$11,3)*AI132*AJ132, D129 = "Tristal", VLOOKUP($BK$14,$BK$16:$BM$24,3)*AI132*AJ132, 1=1, VLOOKUP(AO132,$AX$75:$AZ$174,3)*AI132*AJ132)</f>
        <v/>
      </c>
      <c r="F129" t="str" cm="1">
        <f t="array" aca="1" ref="F129" ca="1">IF(D129="","",_xlfn.IFS(AH132&gt;5,"Normal",AND(AH132&lt;=5,$BK$28&lt;=4),VLOOKUP(AF132,$BK$29:$BN$39,2),AND(AH132&lt;=5,$BK$28&gt;=9),VLOOKUP(AF132,$BK$29:$BN$39,2), 1=1, "Normal"))</f>
        <v/>
      </c>
      <c r="G129" t="str" cm="1">
        <f t="array" aca="1" ref="G129" ca="1">IF(D129="","",_xlfn.IFS(AH132&gt;5, "Normal", AND(AH132&lt;=5, $BL$28&lt;=8, $BL$28&gt;=5), VLOOKUP(AG132,$BK$29:$BN$39,3), AND(AH132&lt;=5,$BK$28&gt;=9), VLOOKUP(AG132,$BK$29:$BN$39,3), 1=1, "Normal"))</f>
        <v/>
      </c>
      <c r="H129" t="str">
        <f t="shared" ca="1" si="28"/>
        <v/>
      </c>
      <c r="I129" t="str">
        <f t="shared" ca="1" si="29"/>
        <v/>
      </c>
      <c r="K129" t="str" cm="1">
        <f t="array" aca="1" ref="K129" ca="1">IF(L129="","",(_xlfn.IFS(L129&gt;=15000,VLOOKUP(AW132,$BE$5:$BH$15,4),L129&gt;=4000,VLOOKUP(AW132,$BE$5:$BH$15,3),L129&gt;=100,VLOOKUP(AW132,$BE$5:$BH$15,2))))</f>
        <v/>
      </c>
      <c r="L129" t="str">
        <f t="shared" ca="1" si="30"/>
        <v/>
      </c>
      <c r="AF129" s="1">
        <f t="shared" ca="1" si="34"/>
        <v>6</v>
      </c>
      <c r="AG129" s="1">
        <f t="shared" ca="1" si="34"/>
        <v>1</v>
      </c>
      <c r="AH129" s="1">
        <f t="shared" ca="1" si="35"/>
        <v>69</v>
      </c>
      <c r="AI129" s="1">
        <f t="shared" ca="1" si="32"/>
        <v>2</v>
      </c>
      <c r="AJ129" s="1">
        <f t="shared" ca="1" si="33"/>
        <v>0.125</v>
      </c>
      <c r="AO129" s="1">
        <f t="shared" ca="1" si="36"/>
        <v>12</v>
      </c>
      <c r="AP129" s="1">
        <f t="shared" ca="1" si="37"/>
        <v>-53</v>
      </c>
      <c r="AS129" s="1">
        <f t="shared" ca="1" si="38"/>
        <v>16</v>
      </c>
      <c r="AV129" s="1">
        <f t="shared" ca="1" si="39"/>
        <v>-110</v>
      </c>
      <c r="AW129" s="1">
        <f t="shared" ca="1" si="40"/>
        <v>7</v>
      </c>
      <c r="AX129">
        <v>55</v>
      </c>
      <c r="AY129" t="s">
        <v>40</v>
      </c>
      <c r="AZ129">
        <v>1000</v>
      </c>
    </row>
    <row r="130" spans="4:52" x14ac:dyDescent="0.3">
      <c r="D130" t="str">
        <f t="shared" ca="1" si="31"/>
        <v/>
      </c>
      <c r="E130" t="str" cm="1">
        <f t="array" aca="1" ref="E130" ca="1">_xlfn.IFS(D130="","",D130="Starstone", VLOOKUP($BK$4,$BK$6:$BM$11,3)*AI133*AJ133, D130 = "Tristal", VLOOKUP($BK$14,$BK$16:$BM$24,3)*AI133*AJ133, 1=1, VLOOKUP(AO133,$AX$75:$AZ$174,3)*AI133*AJ133)</f>
        <v/>
      </c>
      <c r="F130" t="str" cm="1">
        <f t="array" aca="1" ref="F130" ca="1">IF(D130="","",_xlfn.IFS(AH133&gt;5,"Normal",AND(AH133&lt;=5,$BK$28&lt;=4),VLOOKUP(AF133,$BK$29:$BN$39,2),AND(AH133&lt;=5,$BK$28&gt;=9),VLOOKUP(AF133,$BK$29:$BN$39,2), 1=1, "Normal"))</f>
        <v/>
      </c>
      <c r="G130" t="str" cm="1">
        <f t="array" aca="1" ref="G130" ca="1">IF(D130="","",_xlfn.IFS(AH133&gt;5, "Normal", AND(AH133&lt;=5, $BL$28&lt;=8, $BL$28&gt;=5), VLOOKUP(AG133,$BK$29:$BN$39,3), AND(AH133&lt;=5,$BK$28&gt;=9), VLOOKUP(AG133,$BK$29:$BN$39,3), 1=1, "Normal"))</f>
        <v/>
      </c>
      <c r="H130" t="str">
        <f t="shared" ca="1" si="28"/>
        <v/>
      </c>
      <c r="I130" t="str">
        <f t="shared" ca="1" si="29"/>
        <v/>
      </c>
      <c r="K130" t="str" cm="1">
        <f t="array" aca="1" ref="K130" ca="1">IF(L130="","",(_xlfn.IFS(L130&gt;=15000,VLOOKUP(AW133,$BE$5:$BH$15,4),L130&gt;=4000,VLOOKUP(AW133,$BE$5:$BH$15,3),L130&gt;=100,VLOOKUP(AW133,$BE$5:$BH$15,2))))</f>
        <v/>
      </c>
      <c r="L130" t="str">
        <f t="shared" ca="1" si="30"/>
        <v/>
      </c>
      <c r="AF130" s="1">
        <f t="shared" ca="1" si="34"/>
        <v>1</v>
      </c>
      <c r="AG130" s="1">
        <f t="shared" ca="1" si="34"/>
        <v>6</v>
      </c>
      <c r="AH130" s="1">
        <f t="shared" ca="1" si="35"/>
        <v>18</v>
      </c>
      <c r="AI130" s="1">
        <f t="shared" ca="1" si="32"/>
        <v>0.125</v>
      </c>
      <c r="AJ130" s="1">
        <f t="shared" ca="1" si="33"/>
        <v>2</v>
      </c>
      <c r="AO130" s="1">
        <f t="shared" ca="1" si="36"/>
        <v>66</v>
      </c>
      <c r="AP130" s="1">
        <f t="shared" ca="1" si="37"/>
        <v>-54</v>
      </c>
      <c r="AS130" s="1">
        <f t="shared" ca="1" si="38"/>
        <v>73</v>
      </c>
      <c r="AV130" s="1">
        <f t="shared" ca="1" si="39"/>
        <v>-111</v>
      </c>
      <c r="AW130" s="1">
        <f t="shared" ca="1" si="40"/>
        <v>10</v>
      </c>
      <c r="AX130">
        <v>56</v>
      </c>
      <c r="AY130" t="s">
        <v>40</v>
      </c>
      <c r="AZ130">
        <v>1000</v>
      </c>
    </row>
    <row r="131" spans="4:52" x14ac:dyDescent="0.3">
      <c r="D131" t="str">
        <f t="shared" ca="1" si="31"/>
        <v/>
      </c>
      <c r="E131" t="str" cm="1">
        <f t="array" aca="1" ref="E131" ca="1">_xlfn.IFS(D131="","",D131="Starstone", VLOOKUP($BK$4,$BK$6:$BM$11,3)*AI134*AJ134, D131 = "Tristal", VLOOKUP($BK$14,$BK$16:$BM$24,3)*AI134*AJ134, 1=1, VLOOKUP(AO134,$AX$75:$AZ$174,3)*AI134*AJ134)</f>
        <v/>
      </c>
      <c r="F131" t="str" cm="1">
        <f t="array" aca="1" ref="F131" ca="1">IF(D131="","",_xlfn.IFS(AH134&gt;5,"Normal",AND(AH134&lt;=5,$BK$28&lt;=4),VLOOKUP(AF134,$BK$29:$BN$39,2),AND(AH134&lt;=5,$BK$28&gt;=9),VLOOKUP(AF134,$BK$29:$BN$39,2), 1=1, "Normal"))</f>
        <v/>
      </c>
      <c r="G131" t="str" cm="1">
        <f t="array" aca="1" ref="G131" ca="1">IF(D131="","",_xlfn.IFS(AH134&gt;5, "Normal", AND(AH134&lt;=5, $BL$28&lt;=8, $BL$28&gt;=5), VLOOKUP(AG134,$BK$29:$BN$39,3), AND(AH134&lt;=5,$BK$28&gt;=9), VLOOKUP(AG134,$BK$29:$BN$39,3), 1=1, "Normal"))</f>
        <v/>
      </c>
      <c r="H131" t="str">
        <f t="shared" ca="1" si="28"/>
        <v/>
      </c>
      <c r="I131" t="str">
        <f t="shared" ca="1" si="29"/>
        <v/>
      </c>
      <c r="K131" t="str" cm="1">
        <f t="array" aca="1" ref="K131" ca="1">IF(L131="","",(_xlfn.IFS(L131&gt;=15000,VLOOKUP(AW134,$BE$5:$BH$15,4),L131&gt;=4000,VLOOKUP(AW134,$BE$5:$BH$15,3),L131&gt;=100,VLOOKUP(AW134,$BE$5:$BH$15,2))))</f>
        <v/>
      </c>
      <c r="L131" t="str">
        <f t="shared" ca="1" si="30"/>
        <v/>
      </c>
      <c r="AF131" s="1">
        <f t="shared" ca="1" si="34"/>
        <v>4</v>
      </c>
      <c r="AG131" s="1">
        <f t="shared" ca="1" si="34"/>
        <v>9</v>
      </c>
      <c r="AH131" s="1">
        <f t="shared" ca="1" si="35"/>
        <v>73</v>
      </c>
      <c r="AI131" s="1">
        <f t="shared" ca="1" si="32"/>
        <v>0.5</v>
      </c>
      <c r="AJ131" s="1">
        <f t="shared" ca="1" si="33"/>
        <v>4</v>
      </c>
      <c r="AO131" s="1">
        <f t="shared" ca="1" si="36"/>
        <v>84</v>
      </c>
      <c r="AP131" s="1">
        <f t="shared" ca="1" si="37"/>
        <v>-55</v>
      </c>
      <c r="AS131" s="1">
        <f t="shared" ca="1" si="38"/>
        <v>1</v>
      </c>
      <c r="AV131" s="1">
        <f t="shared" ca="1" si="39"/>
        <v>-112</v>
      </c>
      <c r="AW131" s="1">
        <f t="shared" ca="1" si="40"/>
        <v>6</v>
      </c>
      <c r="AX131">
        <v>57</v>
      </c>
      <c r="AY131" t="s">
        <v>40</v>
      </c>
      <c r="AZ131">
        <v>1000</v>
      </c>
    </row>
    <row r="132" spans="4:52" x14ac:dyDescent="0.3">
      <c r="D132" t="str">
        <f t="shared" ca="1" si="31"/>
        <v/>
      </c>
      <c r="E132" t="str" cm="1">
        <f t="array" aca="1" ref="E132" ca="1">_xlfn.IFS(D132="","",D132="Starstone", VLOOKUP($BK$4,$BK$6:$BM$11,3)*AI135*AJ135, D132 = "Tristal", VLOOKUP($BK$14,$BK$16:$BM$24,3)*AI135*AJ135, 1=1, VLOOKUP(AO135,$AX$75:$AZ$174,3)*AI135*AJ135)</f>
        <v/>
      </c>
      <c r="F132" t="str" cm="1">
        <f t="array" aca="1" ref="F132" ca="1">IF(D132="","",_xlfn.IFS(AH135&gt;5,"Normal",AND(AH135&lt;=5,$BK$28&lt;=4),VLOOKUP(AF135,$BK$29:$BN$39,2),AND(AH135&lt;=5,$BK$28&gt;=9),VLOOKUP(AF135,$BK$29:$BN$39,2), 1=1, "Normal"))</f>
        <v/>
      </c>
      <c r="G132" t="str" cm="1">
        <f t="array" aca="1" ref="G132" ca="1">IF(D132="","",_xlfn.IFS(AH135&gt;5, "Normal", AND(AH135&lt;=5, $BL$28&lt;=8, $BL$28&gt;=5), VLOOKUP(AG135,$BK$29:$BN$39,3), AND(AH135&lt;=5,$BK$28&gt;=9), VLOOKUP(AG135,$BK$29:$BN$39,3), 1=1, "Normal"))</f>
        <v/>
      </c>
      <c r="H132" t="str">
        <f t="shared" ca="1" si="28"/>
        <v/>
      </c>
      <c r="I132" t="str">
        <f t="shared" ca="1" si="29"/>
        <v/>
      </c>
      <c r="K132" t="str" cm="1">
        <f t="array" aca="1" ref="K132" ca="1">IF(L132="","",(_xlfn.IFS(L132&gt;=15000,VLOOKUP(AW135,$BE$5:$BH$15,4),L132&gt;=4000,VLOOKUP(AW135,$BE$5:$BH$15,3),L132&gt;=100,VLOOKUP(AW135,$BE$5:$BH$15,2))))</f>
        <v/>
      </c>
      <c r="L132" t="str">
        <f t="shared" ca="1" si="30"/>
        <v/>
      </c>
      <c r="AF132" s="1">
        <f t="shared" ca="1" si="34"/>
        <v>8</v>
      </c>
      <c r="AG132" s="1">
        <f t="shared" ca="1" si="34"/>
        <v>6</v>
      </c>
      <c r="AH132" s="1">
        <f t="shared" ca="1" si="35"/>
        <v>15</v>
      </c>
      <c r="AI132" s="1">
        <f t="shared" ca="1" si="32"/>
        <v>4</v>
      </c>
      <c r="AJ132" s="1">
        <f t="shared" ca="1" si="33"/>
        <v>2</v>
      </c>
      <c r="AO132" s="1">
        <f t="shared" ca="1" si="36"/>
        <v>35</v>
      </c>
      <c r="AP132" s="1">
        <f t="shared" ca="1" si="37"/>
        <v>-56</v>
      </c>
      <c r="AS132" s="1">
        <f t="shared" ca="1" si="38"/>
        <v>87</v>
      </c>
      <c r="AV132" s="1">
        <f t="shared" ca="1" si="39"/>
        <v>-113</v>
      </c>
      <c r="AW132" s="1">
        <f t="shared" ca="1" si="40"/>
        <v>2</v>
      </c>
      <c r="AX132">
        <v>58</v>
      </c>
      <c r="AY132" t="s">
        <v>40</v>
      </c>
      <c r="AZ132">
        <v>1000</v>
      </c>
    </row>
    <row r="133" spans="4:52" x14ac:dyDescent="0.3">
      <c r="D133" t="str">
        <f t="shared" ca="1" si="31"/>
        <v/>
      </c>
      <c r="E133" t="str" cm="1">
        <f t="array" aca="1" ref="E133" ca="1">_xlfn.IFS(D133="","",D133="Starstone", VLOOKUP($BK$4,$BK$6:$BM$11,3)*AI136*AJ136, D133 = "Tristal", VLOOKUP($BK$14,$BK$16:$BM$24,3)*AI136*AJ136, 1=1, VLOOKUP(AO136,$AX$75:$AZ$174,3)*AI136*AJ136)</f>
        <v/>
      </c>
      <c r="F133" t="str" cm="1">
        <f t="array" aca="1" ref="F133" ca="1">IF(D133="","",_xlfn.IFS(AH136&gt;5,"Normal",AND(AH136&lt;=5,$BK$28&lt;=4),VLOOKUP(AF136,$BK$29:$BN$39,2),AND(AH136&lt;=5,$BK$28&gt;=9),VLOOKUP(AF136,$BK$29:$BN$39,2), 1=1, "Normal"))</f>
        <v/>
      </c>
      <c r="G133" t="str" cm="1">
        <f t="array" aca="1" ref="G133" ca="1">IF(D133="","",_xlfn.IFS(AH136&gt;5, "Normal", AND(AH136&lt;=5, $BL$28&lt;=8, $BL$28&gt;=5), VLOOKUP(AG136,$BK$29:$BN$39,3), AND(AH136&lt;=5,$BK$28&gt;=9), VLOOKUP(AG136,$BK$29:$BN$39,3), 1=1, "Normal"))</f>
        <v/>
      </c>
      <c r="H133" t="str">
        <f t="shared" ca="1" si="28"/>
        <v/>
      </c>
      <c r="I133" t="str">
        <f t="shared" ca="1" si="29"/>
        <v/>
      </c>
      <c r="K133" t="str" cm="1">
        <f t="array" aca="1" ref="K133" ca="1">IF(L133="","",(_xlfn.IFS(L133&gt;=15000,VLOOKUP(AW136,$BE$5:$BH$15,4),L133&gt;=4000,VLOOKUP(AW136,$BE$5:$BH$15,3),L133&gt;=100,VLOOKUP(AW136,$BE$5:$BH$15,2))))</f>
        <v/>
      </c>
      <c r="L133" t="str">
        <f t="shared" ca="1" si="30"/>
        <v/>
      </c>
      <c r="AF133" s="1">
        <f t="shared" ca="1" si="34"/>
        <v>3</v>
      </c>
      <c r="AG133" s="1">
        <f t="shared" ca="1" si="34"/>
        <v>8</v>
      </c>
      <c r="AH133" s="1">
        <f t="shared" ca="1" si="35"/>
        <v>5</v>
      </c>
      <c r="AI133" s="1">
        <f t="shared" ca="1" si="32"/>
        <v>0.25</v>
      </c>
      <c r="AJ133" s="1">
        <f t="shared" ca="1" si="33"/>
        <v>4</v>
      </c>
      <c r="AO133" s="1">
        <f t="shared" ca="1" si="36"/>
        <v>34</v>
      </c>
      <c r="AP133" s="1">
        <f t="shared" ca="1" si="37"/>
        <v>-57</v>
      </c>
      <c r="AS133" s="1">
        <f t="shared" ca="1" si="38"/>
        <v>15</v>
      </c>
      <c r="AV133" s="1">
        <f t="shared" ca="1" si="39"/>
        <v>-114</v>
      </c>
      <c r="AW133" s="1">
        <f t="shared" ca="1" si="40"/>
        <v>1</v>
      </c>
      <c r="AX133">
        <v>59</v>
      </c>
      <c r="AY133" t="s">
        <v>40</v>
      </c>
      <c r="AZ133">
        <v>1000</v>
      </c>
    </row>
    <row r="134" spans="4:52" x14ac:dyDescent="0.3">
      <c r="D134" t="str">
        <f t="shared" ca="1" si="31"/>
        <v/>
      </c>
      <c r="E134" t="str" cm="1">
        <f t="array" aca="1" ref="E134" ca="1">_xlfn.IFS(D134="","",D134="Starstone", VLOOKUP($BK$4,$BK$6:$BM$11,3)*AI137*AJ137, D134 = "Tristal", VLOOKUP($BK$14,$BK$16:$BM$24,3)*AI137*AJ137, 1=1, VLOOKUP(AO137,$AX$75:$AZ$174,3)*AI137*AJ137)</f>
        <v/>
      </c>
      <c r="F134" t="str" cm="1">
        <f t="array" aca="1" ref="F134" ca="1">IF(D134="","",_xlfn.IFS(AH137&gt;5,"Normal",AND(AH137&lt;=5,$BK$28&lt;=4),VLOOKUP(AF137,$BK$29:$BN$39,2),AND(AH137&lt;=5,$BK$28&gt;=9),VLOOKUP(AF137,$BK$29:$BN$39,2), 1=1, "Normal"))</f>
        <v/>
      </c>
      <c r="G134" t="str" cm="1">
        <f t="array" aca="1" ref="G134" ca="1">IF(D134="","",_xlfn.IFS(AH137&gt;5, "Normal", AND(AH137&lt;=5, $BL$28&lt;=8, $BL$28&gt;=5), VLOOKUP(AG137,$BK$29:$BN$39,3), AND(AH137&lt;=5,$BK$28&gt;=9), VLOOKUP(AG137,$BK$29:$BN$39,3), 1=1, "Normal"))</f>
        <v/>
      </c>
      <c r="H134" t="str">
        <f t="shared" ca="1" si="28"/>
        <v/>
      </c>
      <c r="I134" t="str">
        <f t="shared" ca="1" si="29"/>
        <v/>
      </c>
      <c r="K134" t="str" cm="1">
        <f t="array" aca="1" ref="K134" ca="1">IF(L134="","",(_xlfn.IFS(L134&gt;=15000,VLOOKUP(AW137,$BE$5:$BH$15,4),L134&gt;=4000,VLOOKUP(AW137,$BE$5:$BH$15,3),L134&gt;=100,VLOOKUP(AW137,$BE$5:$BH$15,2))))</f>
        <v/>
      </c>
      <c r="L134" t="str">
        <f t="shared" ca="1" si="30"/>
        <v/>
      </c>
      <c r="AF134" s="1">
        <f t="shared" ca="1" si="34"/>
        <v>2</v>
      </c>
      <c r="AG134" s="1">
        <f t="shared" ca="1" si="34"/>
        <v>2</v>
      </c>
      <c r="AH134" s="1">
        <f t="shared" ca="1" si="35"/>
        <v>81</v>
      </c>
      <c r="AI134" s="1">
        <f t="shared" ca="1" si="32"/>
        <v>0.25</v>
      </c>
      <c r="AJ134" s="1">
        <f t="shared" ca="1" si="33"/>
        <v>0.25</v>
      </c>
      <c r="AO134" s="1">
        <f t="shared" ca="1" si="36"/>
        <v>76</v>
      </c>
      <c r="AP134" s="1">
        <f t="shared" ca="1" si="37"/>
        <v>-58</v>
      </c>
      <c r="AS134" s="1">
        <f t="shared" ca="1" si="38"/>
        <v>18</v>
      </c>
      <c r="AV134" s="1">
        <f t="shared" ca="1" si="39"/>
        <v>-115</v>
      </c>
      <c r="AW134" s="1">
        <f t="shared" ca="1" si="40"/>
        <v>8</v>
      </c>
      <c r="AX134">
        <v>60</v>
      </c>
      <c r="AY134" t="s">
        <v>41</v>
      </c>
      <c r="AZ134">
        <v>1000</v>
      </c>
    </row>
    <row r="135" spans="4:52" x14ac:dyDescent="0.3">
      <c r="D135" t="str">
        <f t="shared" ca="1" si="31"/>
        <v/>
      </c>
      <c r="E135" t="str" cm="1">
        <f t="array" aca="1" ref="E135" ca="1">_xlfn.IFS(D135="","",D135="Starstone", VLOOKUP($BK$4,$BK$6:$BM$11,3)*AI138*AJ138, D135 = "Tristal", VLOOKUP($BK$14,$BK$16:$BM$24,3)*AI138*AJ138, 1=1, VLOOKUP(AO138,$AX$75:$AZ$174,3)*AI138*AJ138)</f>
        <v/>
      </c>
      <c r="F135" t="str" cm="1">
        <f t="array" aca="1" ref="F135" ca="1">IF(D135="","",_xlfn.IFS(AH138&gt;5,"Normal",AND(AH138&lt;=5,$BK$28&lt;=4),VLOOKUP(AF138,$BK$29:$BN$39,2),AND(AH138&lt;=5,$BK$28&gt;=9),VLOOKUP(AF138,$BK$29:$BN$39,2), 1=1, "Normal"))</f>
        <v/>
      </c>
      <c r="G135" t="str" cm="1">
        <f t="array" aca="1" ref="G135" ca="1">IF(D135="","",_xlfn.IFS(AH138&gt;5, "Normal", AND(AH138&lt;=5, $BL$28&lt;=8, $BL$28&gt;=5), VLOOKUP(AG138,$BK$29:$BN$39,3), AND(AH138&lt;=5,$BK$28&gt;=9), VLOOKUP(AG138,$BK$29:$BN$39,3), 1=1, "Normal"))</f>
        <v/>
      </c>
      <c r="H135" t="str">
        <f t="shared" ref="H135:H198" ca="1" si="44">IF(D135 = "Tristal", VLOOKUP($BK$14,$BK$16:$BM$24,2), "")</f>
        <v/>
      </c>
      <c r="I135" t="str">
        <f t="shared" ref="I135:I198" ca="1" si="45">IF(D135="Starstone", VLOOKUP($BK$4,$BK$6:$BM$11,2), "")</f>
        <v/>
      </c>
      <c r="K135" t="str" cm="1">
        <f t="array" aca="1" ref="K135" ca="1">IF(L135="","",(_xlfn.IFS(L135&gt;=15000,VLOOKUP(AW138,$BE$5:$BH$15,4),L135&gt;=4000,VLOOKUP(AW138,$BE$5:$BH$15,3),L135&gt;=100,VLOOKUP(AW138,$BE$5:$BH$15,2))))</f>
        <v/>
      </c>
      <c r="L135" t="str">
        <f t="shared" ref="L135:L198" ca="1" si="46">IF(AV137&gt;0,VLOOKUP(AS138,$AX$177:$AY$276,2),"")</f>
        <v/>
      </c>
      <c r="AF135" s="1">
        <f t="shared" ca="1" si="34"/>
        <v>10</v>
      </c>
      <c r="AG135" s="1">
        <f t="shared" ca="1" si="34"/>
        <v>2</v>
      </c>
      <c r="AH135" s="1">
        <f t="shared" ca="1" si="35"/>
        <v>42</v>
      </c>
      <c r="AI135" s="1">
        <f t="shared" ca="1" si="32"/>
        <v>8</v>
      </c>
      <c r="AJ135" s="1">
        <f t="shared" ca="1" si="33"/>
        <v>0.25</v>
      </c>
      <c r="AO135" s="1">
        <f t="shared" ca="1" si="36"/>
        <v>3</v>
      </c>
      <c r="AP135" s="1">
        <f t="shared" ca="1" si="37"/>
        <v>-59</v>
      </c>
      <c r="AS135" s="1">
        <f t="shared" ca="1" si="38"/>
        <v>12</v>
      </c>
      <c r="AV135" s="1">
        <f t="shared" ca="1" si="39"/>
        <v>-116</v>
      </c>
      <c r="AW135" s="1">
        <f t="shared" ca="1" si="40"/>
        <v>5</v>
      </c>
      <c r="AX135">
        <v>61</v>
      </c>
      <c r="AY135" t="s">
        <v>41</v>
      </c>
      <c r="AZ135">
        <v>1000</v>
      </c>
    </row>
    <row r="136" spans="4:52" x14ac:dyDescent="0.3">
      <c r="D136" t="str">
        <f t="shared" ref="D136:D199" ca="1" si="47">IF(AP139&gt;-1,VLOOKUP(AO139,$AX$75:$AZ$174,2),"")</f>
        <v/>
      </c>
      <c r="E136" t="str" cm="1">
        <f t="array" aca="1" ref="E136" ca="1">_xlfn.IFS(D136="","",D136="Starstone", VLOOKUP($BK$4,$BK$6:$BM$11,3)*AI139*AJ139, D136 = "Tristal", VLOOKUP($BK$14,$BK$16:$BM$24,3)*AI139*AJ139, 1=1, VLOOKUP(AO139,$AX$75:$AZ$174,3)*AI139*AJ139)</f>
        <v/>
      </c>
      <c r="F136" t="str" cm="1">
        <f t="array" aca="1" ref="F136" ca="1">IF(D136="","",_xlfn.IFS(AH139&gt;5,"Normal",AND(AH139&lt;=5,$BK$28&lt;=4),VLOOKUP(AF139,$BK$29:$BN$39,2),AND(AH139&lt;=5,$BK$28&gt;=9),VLOOKUP(AF139,$BK$29:$BN$39,2), 1=1, "Normal"))</f>
        <v/>
      </c>
      <c r="G136" t="str" cm="1">
        <f t="array" aca="1" ref="G136" ca="1">IF(D136="","",_xlfn.IFS(AH139&gt;5, "Normal", AND(AH139&lt;=5, $BL$28&lt;=8, $BL$28&gt;=5), VLOOKUP(AG139,$BK$29:$BN$39,3), AND(AH139&lt;=5,$BK$28&gt;=9), VLOOKUP(AG139,$BK$29:$BN$39,3), 1=1, "Normal"))</f>
        <v/>
      </c>
      <c r="H136" t="str">
        <f t="shared" ca="1" si="44"/>
        <v/>
      </c>
      <c r="I136" t="str">
        <f t="shared" ca="1" si="45"/>
        <v/>
      </c>
      <c r="K136" t="str" cm="1">
        <f t="array" aca="1" ref="K136" ca="1">IF(L136="","",(_xlfn.IFS(L136&gt;=15000,VLOOKUP(AW139,$BE$5:$BH$15,4),L136&gt;=4000,VLOOKUP(AW139,$BE$5:$BH$15,3),L136&gt;=100,VLOOKUP(AW139,$BE$5:$BH$15,2))))</f>
        <v/>
      </c>
      <c r="L136" t="str">
        <f t="shared" ca="1" si="46"/>
        <v/>
      </c>
      <c r="AF136" s="1">
        <f t="shared" ca="1" si="34"/>
        <v>2</v>
      </c>
      <c r="AG136" s="1">
        <f t="shared" ca="1" si="34"/>
        <v>8</v>
      </c>
      <c r="AH136" s="1">
        <f t="shared" ca="1" si="35"/>
        <v>63</v>
      </c>
      <c r="AI136" s="1">
        <f t="shared" ca="1" si="32"/>
        <v>0.25</v>
      </c>
      <c r="AJ136" s="1">
        <f t="shared" ca="1" si="33"/>
        <v>4</v>
      </c>
      <c r="AO136" s="1">
        <f t="shared" ca="1" si="36"/>
        <v>89</v>
      </c>
      <c r="AP136" s="1">
        <f t="shared" ca="1" si="37"/>
        <v>-60</v>
      </c>
      <c r="AS136" s="1">
        <f t="shared" ca="1" si="38"/>
        <v>60</v>
      </c>
      <c r="AV136" s="1">
        <f t="shared" ca="1" si="39"/>
        <v>-117</v>
      </c>
      <c r="AW136" s="1">
        <f t="shared" ca="1" si="40"/>
        <v>3</v>
      </c>
      <c r="AX136">
        <v>62</v>
      </c>
      <c r="AY136" t="s">
        <v>41</v>
      </c>
      <c r="AZ136">
        <v>1000</v>
      </c>
    </row>
    <row r="137" spans="4:52" x14ac:dyDescent="0.3">
      <c r="D137" t="str">
        <f t="shared" ca="1" si="47"/>
        <v/>
      </c>
      <c r="E137" t="str" cm="1">
        <f t="array" aca="1" ref="E137" ca="1">_xlfn.IFS(D137="","",D137="Starstone", VLOOKUP($BK$4,$BK$6:$BM$11,3)*AI140*AJ140, D137 = "Tristal", VLOOKUP($BK$14,$BK$16:$BM$24,3)*AI140*AJ140, 1=1, VLOOKUP(AO140,$AX$75:$AZ$174,3)*AI140*AJ140)</f>
        <v/>
      </c>
      <c r="F137" t="str" cm="1">
        <f t="array" aca="1" ref="F137" ca="1">IF(D137="","",_xlfn.IFS(AH140&gt;5,"Normal",AND(AH140&lt;=5,$BK$28&lt;=4),VLOOKUP(AF140,$BK$29:$BN$39,2),AND(AH140&lt;=5,$BK$28&gt;=9),VLOOKUP(AF140,$BK$29:$BN$39,2), 1=1, "Normal"))</f>
        <v/>
      </c>
      <c r="G137" t="str" cm="1">
        <f t="array" aca="1" ref="G137" ca="1">IF(D137="","",_xlfn.IFS(AH140&gt;5, "Normal", AND(AH140&lt;=5, $BL$28&lt;=8, $BL$28&gt;=5), VLOOKUP(AG140,$BK$29:$BN$39,3), AND(AH140&lt;=5,$BK$28&gt;=9), VLOOKUP(AG140,$BK$29:$BN$39,3), 1=1, "Normal"))</f>
        <v/>
      </c>
      <c r="H137" t="str">
        <f t="shared" ca="1" si="44"/>
        <v/>
      </c>
      <c r="I137" t="str">
        <f t="shared" ca="1" si="45"/>
        <v/>
      </c>
      <c r="K137" t="str" cm="1">
        <f t="array" aca="1" ref="K137" ca="1">IF(L137="","",(_xlfn.IFS(L137&gt;=15000,VLOOKUP(AW140,$BE$5:$BH$15,4),L137&gt;=4000,VLOOKUP(AW140,$BE$5:$BH$15,3),L137&gt;=100,VLOOKUP(AW140,$BE$5:$BH$15,2))))</f>
        <v/>
      </c>
      <c r="L137" t="str">
        <f t="shared" ca="1" si="46"/>
        <v/>
      </c>
      <c r="AF137" s="1">
        <f t="shared" ca="1" si="34"/>
        <v>7</v>
      </c>
      <c r="AG137" s="1">
        <f t="shared" ca="1" si="34"/>
        <v>5</v>
      </c>
      <c r="AH137" s="1">
        <f t="shared" ca="1" si="35"/>
        <v>45</v>
      </c>
      <c r="AI137" s="1">
        <f t="shared" ca="1" si="32"/>
        <v>2</v>
      </c>
      <c r="AJ137" s="1">
        <f t="shared" ca="1" si="33"/>
        <v>0.5</v>
      </c>
      <c r="AO137" s="1">
        <f t="shared" ca="1" si="36"/>
        <v>77</v>
      </c>
      <c r="AP137" s="1">
        <f t="shared" ca="1" si="37"/>
        <v>-61</v>
      </c>
      <c r="AS137" s="1">
        <f t="shared" ca="1" si="38"/>
        <v>33</v>
      </c>
      <c r="AV137" s="1">
        <f t="shared" ca="1" si="39"/>
        <v>-118</v>
      </c>
      <c r="AW137" s="1">
        <f t="shared" ca="1" si="40"/>
        <v>5</v>
      </c>
      <c r="AX137">
        <v>63</v>
      </c>
      <c r="AY137" t="s">
        <v>41</v>
      </c>
      <c r="AZ137">
        <v>1000</v>
      </c>
    </row>
    <row r="138" spans="4:52" x14ac:dyDescent="0.3">
      <c r="D138" t="str">
        <f t="shared" ca="1" si="47"/>
        <v/>
      </c>
      <c r="E138" t="str" cm="1">
        <f t="array" aca="1" ref="E138" ca="1">_xlfn.IFS(D138="","",D138="Starstone", VLOOKUP($BK$4,$BK$6:$BM$11,3)*AI141*AJ141, D138 = "Tristal", VLOOKUP($BK$14,$BK$16:$BM$24,3)*AI141*AJ141, 1=1, VLOOKUP(AO141,$AX$75:$AZ$174,3)*AI141*AJ141)</f>
        <v/>
      </c>
      <c r="F138" t="str" cm="1">
        <f t="array" aca="1" ref="F138" ca="1">IF(D138="","",_xlfn.IFS(AH141&gt;5,"Normal",AND(AH141&lt;=5,$BK$28&lt;=4),VLOOKUP(AF141,$BK$29:$BN$39,2),AND(AH141&lt;=5,$BK$28&gt;=9),VLOOKUP(AF141,$BK$29:$BN$39,2), 1=1, "Normal"))</f>
        <v/>
      </c>
      <c r="G138" t="str" cm="1">
        <f t="array" aca="1" ref="G138" ca="1">IF(D138="","",_xlfn.IFS(AH141&gt;5, "Normal", AND(AH141&lt;=5, $BL$28&lt;=8, $BL$28&gt;=5), VLOOKUP(AG141,$BK$29:$BN$39,3), AND(AH141&lt;=5,$BK$28&gt;=9), VLOOKUP(AG141,$BK$29:$BN$39,3), 1=1, "Normal"))</f>
        <v/>
      </c>
      <c r="H138" t="str">
        <f t="shared" ca="1" si="44"/>
        <v/>
      </c>
      <c r="I138" t="str">
        <f t="shared" ca="1" si="45"/>
        <v/>
      </c>
      <c r="K138" t="str" cm="1">
        <f t="array" aca="1" ref="K138" ca="1">IF(L138="","",(_xlfn.IFS(L138&gt;=15000,VLOOKUP(AW141,$BE$5:$BH$15,4),L138&gt;=4000,VLOOKUP(AW141,$BE$5:$BH$15,3),L138&gt;=100,VLOOKUP(AW141,$BE$5:$BH$15,2))))</f>
        <v/>
      </c>
      <c r="L138" t="str">
        <f t="shared" ca="1" si="46"/>
        <v/>
      </c>
      <c r="AF138" s="1">
        <f t="shared" ca="1" si="34"/>
        <v>5</v>
      </c>
      <c r="AG138" s="1">
        <f t="shared" ca="1" si="34"/>
        <v>9</v>
      </c>
      <c r="AH138" s="1">
        <f t="shared" ca="1" si="35"/>
        <v>89</v>
      </c>
      <c r="AI138" s="1">
        <f t="shared" ref="AI138:AI201" ca="1" si="48">IF(F135="Normal",1,VLOOKUP(AF138,$BK$29:$BN$39,4))</f>
        <v>0.5</v>
      </c>
      <c r="AJ138" s="1">
        <f t="shared" ref="AJ138:AJ201" ca="1" si="49">IF(G135="Normal",1,VLOOKUP(AG138,$BK$29:$BN$39,4))</f>
        <v>4</v>
      </c>
      <c r="AO138" s="1">
        <f t="shared" ca="1" si="36"/>
        <v>52</v>
      </c>
      <c r="AP138" s="1">
        <f t="shared" ca="1" si="37"/>
        <v>-62</v>
      </c>
      <c r="AS138" s="1">
        <f t="shared" ca="1" si="38"/>
        <v>36</v>
      </c>
      <c r="AV138" s="1">
        <f t="shared" ca="1" si="39"/>
        <v>-119</v>
      </c>
      <c r="AW138" s="1">
        <f t="shared" ca="1" si="40"/>
        <v>6</v>
      </c>
      <c r="AX138">
        <v>64</v>
      </c>
      <c r="AY138" t="s">
        <v>41</v>
      </c>
      <c r="AZ138">
        <v>1000</v>
      </c>
    </row>
    <row r="139" spans="4:52" x14ac:dyDescent="0.3">
      <c r="D139" t="str">
        <f t="shared" ca="1" si="47"/>
        <v/>
      </c>
      <c r="E139" t="str" cm="1">
        <f t="array" aca="1" ref="E139" ca="1">_xlfn.IFS(D139="","",D139="Starstone", VLOOKUP($BK$4,$BK$6:$BM$11,3)*AI142*AJ142, D139 = "Tristal", VLOOKUP($BK$14,$BK$16:$BM$24,3)*AI142*AJ142, 1=1, VLOOKUP(AO142,$AX$75:$AZ$174,3)*AI142*AJ142)</f>
        <v/>
      </c>
      <c r="F139" t="str" cm="1">
        <f t="array" aca="1" ref="F139" ca="1">IF(D139="","",_xlfn.IFS(AH142&gt;5,"Normal",AND(AH142&lt;=5,$BK$28&lt;=4),VLOOKUP(AF142,$BK$29:$BN$39,2),AND(AH142&lt;=5,$BK$28&gt;=9),VLOOKUP(AF142,$BK$29:$BN$39,2), 1=1, "Normal"))</f>
        <v/>
      </c>
      <c r="G139" t="str" cm="1">
        <f t="array" aca="1" ref="G139" ca="1">IF(D139="","",_xlfn.IFS(AH142&gt;5, "Normal", AND(AH142&lt;=5, $BL$28&lt;=8, $BL$28&gt;=5), VLOOKUP(AG142,$BK$29:$BN$39,3), AND(AH142&lt;=5,$BK$28&gt;=9), VLOOKUP(AG142,$BK$29:$BN$39,3), 1=1, "Normal"))</f>
        <v/>
      </c>
      <c r="H139" t="str">
        <f t="shared" ca="1" si="44"/>
        <v/>
      </c>
      <c r="I139" t="str">
        <f t="shared" ca="1" si="45"/>
        <v/>
      </c>
      <c r="K139" t="str" cm="1">
        <f t="array" aca="1" ref="K139" ca="1">IF(L139="","",(_xlfn.IFS(L139&gt;=15000,VLOOKUP(AW142,$BE$5:$BH$15,4),L139&gt;=4000,VLOOKUP(AW142,$BE$5:$BH$15,3),L139&gt;=100,VLOOKUP(AW142,$BE$5:$BH$15,2))))</f>
        <v/>
      </c>
      <c r="L139" t="str">
        <f t="shared" ca="1" si="46"/>
        <v/>
      </c>
      <c r="AF139" s="1">
        <f t="shared" ref="AF139:AG202" ca="1" si="50">RANDBETWEEN(1,10)</f>
        <v>3</v>
      </c>
      <c r="AG139" s="1">
        <f t="shared" ca="1" si="50"/>
        <v>1</v>
      </c>
      <c r="AH139" s="1">
        <f t="shared" ref="AH139" ca="1" si="51">RANDBETWEEN(1,100)</f>
        <v>79</v>
      </c>
      <c r="AI139" s="1">
        <f t="shared" ca="1" si="48"/>
        <v>0.25</v>
      </c>
      <c r="AJ139" s="1">
        <f t="shared" ca="1" si="49"/>
        <v>0.125</v>
      </c>
      <c r="AO139" s="1">
        <f t="shared" ref="AO139:AO202" ca="1" si="52">RANDBETWEEN(1,100)</f>
        <v>67</v>
      </c>
      <c r="AP139" s="1">
        <f t="shared" ref="AP139:AP202" ca="1" si="53">AP138-1</f>
        <v>-63</v>
      </c>
      <c r="AS139" s="1">
        <f t="shared" ref="AS139:AS202" ca="1" si="54">RANDBETWEEN(1,100)</f>
        <v>83</v>
      </c>
      <c r="AV139" s="1">
        <f t="shared" ref="AV139:AV202" ca="1" si="55">AV138-1</f>
        <v>-120</v>
      </c>
      <c r="AW139" s="1">
        <f t="shared" ref="AW139:AW202" ca="1" si="56">RANDBETWEEN(1,10)</f>
        <v>8</v>
      </c>
      <c r="AX139">
        <v>65</v>
      </c>
      <c r="AY139" t="s">
        <v>41</v>
      </c>
      <c r="AZ139">
        <v>1000</v>
      </c>
    </row>
    <row r="140" spans="4:52" x14ac:dyDescent="0.3">
      <c r="D140" t="str">
        <f t="shared" ca="1" si="47"/>
        <v/>
      </c>
      <c r="E140" t="str" cm="1">
        <f t="array" aca="1" ref="E140" ca="1">_xlfn.IFS(D140="","",D140="Starstone", VLOOKUP($BK$4,$BK$6:$BM$11,3)*AI143*AJ143, D140 = "Tristal", VLOOKUP($BK$14,$BK$16:$BM$24,3)*AI143*AJ143, 1=1, VLOOKUP(AO143,$AX$75:$AZ$174,3)*AI143*AJ143)</f>
        <v/>
      </c>
      <c r="F140" t="str" cm="1">
        <f t="array" aca="1" ref="F140" ca="1">IF(D140="","",_xlfn.IFS(AH143&gt;5,"Normal",AND(AH143&lt;=5,$BK$28&lt;=4),VLOOKUP(AF143,$BK$29:$BN$39,2),AND(AH143&lt;=5,$BK$28&gt;=9),VLOOKUP(AF143,$BK$29:$BN$39,2), 1=1, "Normal"))</f>
        <v/>
      </c>
      <c r="G140" t="str" cm="1">
        <f t="array" aca="1" ref="G140" ca="1">IF(D140="","",_xlfn.IFS(AH143&gt;5, "Normal", AND(AH143&lt;=5, $BL$28&lt;=8, $BL$28&gt;=5), VLOOKUP(AG143,$BK$29:$BN$39,3), AND(AH143&lt;=5,$BK$28&gt;=9), VLOOKUP(AG143,$BK$29:$BN$39,3), 1=1, "Normal"))</f>
        <v/>
      </c>
      <c r="H140" t="str">
        <f t="shared" ca="1" si="44"/>
        <v/>
      </c>
      <c r="I140" t="str">
        <f t="shared" ca="1" si="45"/>
        <v/>
      </c>
      <c r="K140" t="str" cm="1">
        <f t="array" aca="1" ref="K140" ca="1">IF(L140="","",(_xlfn.IFS(L140&gt;=15000,VLOOKUP(AW143,$BE$5:$BH$15,4),L140&gt;=4000,VLOOKUP(AW143,$BE$5:$BH$15,3),L140&gt;=100,VLOOKUP(AW143,$BE$5:$BH$15,2))))</f>
        <v/>
      </c>
      <c r="L140" t="str">
        <f t="shared" ca="1" si="46"/>
        <v/>
      </c>
      <c r="AF140" s="1">
        <f t="shared" ca="1" si="50"/>
        <v>3</v>
      </c>
      <c r="AG140" s="1">
        <f t="shared" ca="1" si="50"/>
        <v>8</v>
      </c>
      <c r="AH140" s="1"/>
      <c r="AI140" s="1">
        <f t="shared" ca="1" si="48"/>
        <v>0.25</v>
      </c>
      <c r="AJ140" s="1">
        <f t="shared" ca="1" si="49"/>
        <v>4</v>
      </c>
      <c r="AO140" s="1">
        <f t="shared" ca="1" si="52"/>
        <v>85</v>
      </c>
      <c r="AP140" s="1">
        <f t="shared" ca="1" si="53"/>
        <v>-64</v>
      </c>
      <c r="AS140" s="1">
        <f t="shared" ca="1" si="54"/>
        <v>77</v>
      </c>
      <c r="AV140" s="1">
        <f t="shared" ca="1" si="55"/>
        <v>-121</v>
      </c>
      <c r="AW140" s="1">
        <f t="shared" ca="1" si="56"/>
        <v>10</v>
      </c>
      <c r="AX140">
        <v>66</v>
      </c>
      <c r="AY140" t="s">
        <v>41</v>
      </c>
      <c r="AZ140">
        <v>1000</v>
      </c>
    </row>
    <row r="141" spans="4:52" x14ac:dyDescent="0.3">
      <c r="D141" t="str">
        <f t="shared" ca="1" si="47"/>
        <v/>
      </c>
      <c r="E141" t="str" cm="1">
        <f t="array" aca="1" ref="E141" ca="1">_xlfn.IFS(D141="","",D141="Starstone", VLOOKUP($BK$4,$BK$6:$BM$11,3)*AI144*AJ144, D141 = "Tristal", VLOOKUP($BK$14,$BK$16:$BM$24,3)*AI144*AJ144, 1=1, VLOOKUP(AO144,$AX$75:$AZ$174,3)*AI144*AJ144)</f>
        <v/>
      </c>
      <c r="F141" t="str" cm="1">
        <f t="array" aca="1" ref="F141" ca="1">IF(D141="","",_xlfn.IFS(AH144&gt;5,"Normal",AND(AH144&lt;=5,$BK$28&lt;=4),VLOOKUP(AF144,$BK$29:$BN$39,2),AND(AH144&lt;=5,$BK$28&gt;=9),VLOOKUP(AF144,$BK$29:$BN$39,2), 1=1, "Normal"))</f>
        <v/>
      </c>
      <c r="G141" t="str" cm="1">
        <f t="array" aca="1" ref="G141" ca="1">IF(D141="","",_xlfn.IFS(AH144&gt;5, "Normal", AND(AH144&lt;=5, $BL$28&lt;=8, $BL$28&gt;=5), VLOOKUP(AG144,$BK$29:$BN$39,3), AND(AH144&lt;=5,$BK$28&gt;=9), VLOOKUP(AG144,$BK$29:$BN$39,3), 1=1, "Normal"))</f>
        <v/>
      </c>
      <c r="H141" t="str">
        <f t="shared" ca="1" si="44"/>
        <v/>
      </c>
      <c r="I141" t="str">
        <f t="shared" ca="1" si="45"/>
        <v/>
      </c>
      <c r="K141" t="str" cm="1">
        <f t="array" aca="1" ref="K141" ca="1">IF(L141="","",(_xlfn.IFS(L141&gt;=15000,VLOOKUP(AW144,$BE$5:$BH$15,4),L141&gt;=4000,VLOOKUP(AW144,$BE$5:$BH$15,3),L141&gt;=100,VLOOKUP(AW144,$BE$5:$BH$15,2))))</f>
        <v/>
      </c>
      <c r="L141" t="str">
        <f t="shared" ca="1" si="46"/>
        <v/>
      </c>
      <c r="AF141" s="1">
        <f t="shared" ca="1" si="50"/>
        <v>8</v>
      </c>
      <c r="AG141" s="1">
        <f t="shared" ca="1" si="50"/>
        <v>10</v>
      </c>
      <c r="AH141" s="1"/>
      <c r="AI141" s="1">
        <f t="shared" ca="1" si="48"/>
        <v>4</v>
      </c>
      <c r="AJ141" s="1">
        <f t="shared" ca="1" si="49"/>
        <v>8</v>
      </c>
      <c r="AO141" s="1">
        <f t="shared" ca="1" si="52"/>
        <v>54</v>
      </c>
      <c r="AP141" s="1">
        <f t="shared" ca="1" si="53"/>
        <v>-65</v>
      </c>
      <c r="AS141" s="1">
        <f t="shared" ca="1" si="54"/>
        <v>18</v>
      </c>
      <c r="AV141" s="1">
        <f t="shared" ca="1" si="55"/>
        <v>-122</v>
      </c>
      <c r="AW141" s="1">
        <f t="shared" ca="1" si="56"/>
        <v>7</v>
      </c>
      <c r="AX141">
        <v>67</v>
      </c>
      <c r="AY141" t="s">
        <v>41</v>
      </c>
      <c r="AZ141">
        <v>1000</v>
      </c>
    </row>
    <row r="142" spans="4:52" x14ac:dyDescent="0.3">
      <c r="D142" t="str">
        <f t="shared" ca="1" si="47"/>
        <v/>
      </c>
      <c r="E142" t="str" cm="1">
        <f t="array" aca="1" ref="E142" ca="1">_xlfn.IFS(D142="","",D142="Starstone", VLOOKUP($BK$4,$BK$6:$BM$11,3)*AI145*AJ145, D142 = "Tristal", VLOOKUP($BK$14,$BK$16:$BM$24,3)*AI145*AJ145, 1=1, VLOOKUP(AO145,$AX$75:$AZ$174,3)*AI145*AJ145)</f>
        <v/>
      </c>
      <c r="F142" t="str" cm="1">
        <f t="array" aca="1" ref="F142" ca="1">IF(D142="","",_xlfn.IFS(AH145&gt;5,"Normal",AND(AH145&lt;=5,$BK$28&lt;=4),VLOOKUP(AF145,$BK$29:$BN$39,2),AND(AH145&lt;=5,$BK$28&gt;=9),VLOOKUP(AF145,$BK$29:$BN$39,2), 1=1, "Normal"))</f>
        <v/>
      </c>
      <c r="G142" t="str" cm="1">
        <f t="array" aca="1" ref="G142" ca="1">IF(D142="","",_xlfn.IFS(AH145&gt;5, "Normal", AND(AH145&lt;=5, $BL$28&lt;=8, $BL$28&gt;=5), VLOOKUP(AG145,$BK$29:$BN$39,3), AND(AH145&lt;=5,$BK$28&gt;=9), VLOOKUP(AG145,$BK$29:$BN$39,3), 1=1, "Normal"))</f>
        <v/>
      </c>
      <c r="H142" t="str">
        <f t="shared" ca="1" si="44"/>
        <v/>
      </c>
      <c r="I142" t="str">
        <f t="shared" ca="1" si="45"/>
        <v/>
      </c>
      <c r="K142" t="str" cm="1">
        <f t="array" aca="1" ref="K142" ca="1">IF(L142="","",(_xlfn.IFS(L142&gt;=15000,VLOOKUP(AW145,$BE$5:$BH$15,4),L142&gt;=4000,VLOOKUP(AW145,$BE$5:$BH$15,3),L142&gt;=100,VLOOKUP(AW145,$BE$5:$BH$15,2))))</f>
        <v/>
      </c>
      <c r="L142" t="str">
        <f t="shared" ca="1" si="46"/>
        <v/>
      </c>
      <c r="AF142" s="1">
        <f t="shared" ca="1" si="50"/>
        <v>7</v>
      </c>
      <c r="AG142" s="1">
        <f t="shared" ca="1" si="50"/>
        <v>5</v>
      </c>
      <c r="AH142" s="1"/>
      <c r="AI142" s="1">
        <f t="shared" ca="1" si="48"/>
        <v>2</v>
      </c>
      <c r="AJ142" s="1">
        <f t="shared" ca="1" si="49"/>
        <v>0.5</v>
      </c>
      <c r="AO142" s="1">
        <f t="shared" ca="1" si="52"/>
        <v>74</v>
      </c>
      <c r="AP142" s="1">
        <f t="shared" ca="1" si="53"/>
        <v>-66</v>
      </c>
      <c r="AS142" s="1">
        <f t="shared" ca="1" si="54"/>
        <v>81</v>
      </c>
      <c r="AV142" s="1">
        <f t="shared" ca="1" si="55"/>
        <v>-123</v>
      </c>
      <c r="AW142" s="1">
        <f t="shared" ca="1" si="56"/>
        <v>2</v>
      </c>
      <c r="AX142">
        <v>68</v>
      </c>
      <c r="AY142" t="s">
        <v>41</v>
      </c>
      <c r="AZ142">
        <v>1000</v>
      </c>
    </row>
    <row r="143" spans="4:52" x14ac:dyDescent="0.3">
      <c r="D143" t="str">
        <f t="shared" ca="1" si="47"/>
        <v/>
      </c>
      <c r="E143" t="str" cm="1">
        <f t="array" aca="1" ref="E143" ca="1">_xlfn.IFS(D143="","",D143="Starstone", VLOOKUP($BK$4,$BK$6:$BM$11,3)*AI146*AJ146, D143 = "Tristal", VLOOKUP($BK$14,$BK$16:$BM$24,3)*AI146*AJ146, 1=1, VLOOKUP(AO146,$AX$75:$AZ$174,3)*AI146*AJ146)</f>
        <v/>
      </c>
      <c r="F143" t="str" cm="1">
        <f t="array" aca="1" ref="F143" ca="1">IF(D143="","",_xlfn.IFS(AH146&gt;5,"Normal",AND(AH146&lt;=5,$BK$28&lt;=4),VLOOKUP(AF146,$BK$29:$BN$39,2),AND(AH146&lt;=5,$BK$28&gt;=9),VLOOKUP(AF146,$BK$29:$BN$39,2), 1=1, "Normal"))</f>
        <v/>
      </c>
      <c r="G143" t="str" cm="1">
        <f t="array" aca="1" ref="G143" ca="1">IF(D143="","",_xlfn.IFS(AH146&gt;5, "Normal", AND(AH146&lt;=5, $BL$28&lt;=8, $BL$28&gt;=5), VLOOKUP(AG146,$BK$29:$BN$39,3), AND(AH146&lt;=5,$BK$28&gt;=9), VLOOKUP(AG146,$BK$29:$BN$39,3), 1=1, "Normal"))</f>
        <v/>
      </c>
      <c r="H143" t="str">
        <f t="shared" ca="1" si="44"/>
        <v/>
      </c>
      <c r="I143" t="str">
        <f t="shared" ca="1" si="45"/>
        <v/>
      </c>
      <c r="K143" t="str" cm="1">
        <f t="array" aca="1" ref="K143" ca="1">IF(L143="","",(_xlfn.IFS(L143&gt;=15000,VLOOKUP(AW146,$BE$5:$BH$15,4),L143&gt;=4000,VLOOKUP(AW146,$BE$5:$BH$15,3),L143&gt;=100,VLOOKUP(AW146,$BE$5:$BH$15,2))))</f>
        <v/>
      </c>
      <c r="L143" t="str">
        <f t="shared" ca="1" si="46"/>
        <v/>
      </c>
      <c r="AF143" s="1">
        <f t="shared" ca="1" si="50"/>
        <v>3</v>
      </c>
      <c r="AG143" s="1">
        <f t="shared" ca="1" si="50"/>
        <v>8</v>
      </c>
      <c r="AH143" s="1"/>
      <c r="AI143" s="1">
        <f t="shared" ca="1" si="48"/>
        <v>0.25</v>
      </c>
      <c r="AJ143" s="1">
        <f t="shared" ca="1" si="49"/>
        <v>4</v>
      </c>
      <c r="AO143" s="1">
        <f t="shared" ca="1" si="52"/>
        <v>50</v>
      </c>
      <c r="AP143" s="1">
        <f t="shared" ca="1" si="53"/>
        <v>-67</v>
      </c>
      <c r="AS143" s="1">
        <f t="shared" ca="1" si="54"/>
        <v>32</v>
      </c>
      <c r="AV143" s="1">
        <f t="shared" ca="1" si="55"/>
        <v>-124</v>
      </c>
      <c r="AW143" s="1">
        <f t="shared" ca="1" si="56"/>
        <v>3</v>
      </c>
      <c r="AX143">
        <v>69</v>
      </c>
      <c r="AY143" t="s">
        <v>41</v>
      </c>
      <c r="AZ143">
        <v>1000</v>
      </c>
    </row>
    <row r="144" spans="4:52" x14ac:dyDescent="0.3">
      <c r="D144" t="str">
        <f t="shared" ca="1" si="47"/>
        <v/>
      </c>
      <c r="E144" t="str" cm="1">
        <f t="array" aca="1" ref="E144" ca="1">_xlfn.IFS(D144="","",D144="Starstone", VLOOKUP($BK$4,$BK$6:$BM$11,3)*AI147*AJ147, D144 = "Tristal", VLOOKUP($BK$14,$BK$16:$BM$24,3)*AI147*AJ147, 1=1, VLOOKUP(AO147,$AX$75:$AZ$174,3)*AI147*AJ147)</f>
        <v/>
      </c>
      <c r="F144" t="str" cm="1">
        <f t="array" aca="1" ref="F144" ca="1">IF(D144="","",_xlfn.IFS(AH147&gt;5,"Normal",AND(AH147&lt;=5,$BK$28&lt;=4),VLOOKUP(AF147,$BK$29:$BN$39,2),AND(AH147&lt;=5,$BK$28&gt;=9),VLOOKUP(AF147,$BK$29:$BN$39,2), 1=1, "Normal"))</f>
        <v/>
      </c>
      <c r="G144" t="str" cm="1">
        <f t="array" aca="1" ref="G144" ca="1">IF(D144="","",_xlfn.IFS(AH147&gt;5, "Normal", AND(AH147&lt;=5, $BL$28&lt;=8, $BL$28&gt;=5), VLOOKUP(AG147,$BK$29:$BN$39,3), AND(AH147&lt;=5,$BK$28&gt;=9), VLOOKUP(AG147,$BK$29:$BN$39,3), 1=1, "Normal"))</f>
        <v/>
      </c>
      <c r="H144" t="str">
        <f t="shared" ca="1" si="44"/>
        <v/>
      </c>
      <c r="I144" t="str">
        <f t="shared" ca="1" si="45"/>
        <v/>
      </c>
      <c r="K144" t="str" cm="1">
        <f t="array" aca="1" ref="K144" ca="1">IF(L144="","",(_xlfn.IFS(L144&gt;=15000,VLOOKUP(AW147,$BE$5:$BH$15,4),L144&gt;=4000,VLOOKUP(AW147,$BE$5:$BH$15,3),L144&gt;=100,VLOOKUP(AW147,$BE$5:$BH$15,2))))</f>
        <v/>
      </c>
      <c r="L144" t="str">
        <f t="shared" ca="1" si="46"/>
        <v/>
      </c>
      <c r="AF144" s="1">
        <f t="shared" ca="1" si="50"/>
        <v>10</v>
      </c>
      <c r="AG144" s="1">
        <f t="shared" ca="1" si="50"/>
        <v>2</v>
      </c>
      <c r="AH144" s="1"/>
      <c r="AI144" s="1">
        <f t="shared" ca="1" si="48"/>
        <v>8</v>
      </c>
      <c r="AJ144" s="1">
        <f t="shared" ca="1" si="49"/>
        <v>0.25</v>
      </c>
      <c r="AO144" s="1">
        <f t="shared" ca="1" si="52"/>
        <v>43</v>
      </c>
      <c r="AP144" s="1">
        <f t="shared" ca="1" si="53"/>
        <v>-68</v>
      </c>
      <c r="AS144" s="1">
        <f t="shared" ca="1" si="54"/>
        <v>4</v>
      </c>
      <c r="AV144" s="1">
        <f t="shared" ca="1" si="55"/>
        <v>-125</v>
      </c>
      <c r="AW144" s="1">
        <f t="shared" ca="1" si="56"/>
        <v>7</v>
      </c>
      <c r="AX144">
        <v>70</v>
      </c>
      <c r="AY144" t="s">
        <v>41</v>
      </c>
      <c r="AZ144">
        <v>1000</v>
      </c>
    </row>
    <row r="145" spans="4:52" x14ac:dyDescent="0.3">
      <c r="D145" t="str">
        <f t="shared" ca="1" si="47"/>
        <v/>
      </c>
      <c r="E145" t="str" cm="1">
        <f t="array" aca="1" ref="E145" ca="1">_xlfn.IFS(D145="","",D145="Starstone", VLOOKUP($BK$4,$BK$6:$BM$11,3)*AI148*AJ148, D145 = "Tristal", VLOOKUP($BK$14,$BK$16:$BM$24,3)*AI148*AJ148, 1=1, VLOOKUP(AO148,$AX$75:$AZ$174,3)*AI148*AJ148)</f>
        <v/>
      </c>
      <c r="F145" t="str" cm="1">
        <f t="array" aca="1" ref="F145" ca="1">IF(D145="","",_xlfn.IFS(AH148&gt;5,"Normal",AND(AH148&lt;=5,$BK$28&lt;=4),VLOOKUP(AF148,$BK$29:$BN$39,2),AND(AH148&lt;=5,$BK$28&gt;=9),VLOOKUP(AF148,$BK$29:$BN$39,2), 1=1, "Normal"))</f>
        <v/>
      </c>
      <c r="G145" t="str" cm="1">
        <f t="array" aca="1" ref="G145" ca="1">IF(D145="","",_xlfn.IFS(AH148&gt;5, "Normal", AND(AH148&lt;=5, $BL$28&lt;=8, $BL$28&gt;=5), VLOOKUP(AG148,$BK$29:$BN$39,3), AND(AH148&lt;=5,$BK$28&gt;=9), VLOOKUP(AG148,$BK$29:$BN$39,3), 1=1, "Normal"))</f>
        <v/>
      </c>
      <c r="H145" t="str">
        <f t="shared" ca="1" si="44"/>
        <v/>
      </c>
      <c r="I145" t="str">
        <f t="shared" ca="1" si="45"/>
        <v/>
      </c>
      <c r="K145" t="str" cm="1">
        <f t="array" aca="1" ref="K145" ca="1">IF(L145="","",(_xlfn.IFS(L145&gt;=15000,VLOOKUP(AW148,$BE$5:$BH$15,4),L145&gt;=4000,VLOOKUP(AW148,$BE$5:$BH$15,3),L145&gt;=100,VLOOKUP(AW148,$BE$5:$BH$15,2))))</f>
        <v/>
      </c>
      <c r="L145" t="str">
        <f t="shared" ca="1" si="46"/>
        <v/>
      </c>
      <c r="AF145" s="1">
        <f t="shared" ca="1" si="50"/>
        <v>6</v>
      </c>
      <c r="AG145" s="1">
        <f t="shared" ca="1" si="50"/>
        <v>1</v>
      </c>
      <c r="AH145" s="1"/>
      <c r="AI145" s="1">
        <f t="shared" ca="1" si="48"/>
        <v>2</v>
      </c>
      <c r="AJ145" s="1">
        <f t="shared" ca="1" si="49"/>
        <v>0.125</v>
      </c>
      <c r="AO145" s="1">
        <f t="shared" ca="1" si="52"/>
        <v>3</v>
      </c>
      <c r="AP145" s="1">
        <f t="shared" ca="1" si="53"/>
        <v>-69</v>
      </c>
      <c r="AS145" s="1">
        <f t="shared" ca="1" si="54"/>
        <v>25</v>
      </c>
      <c r="AV145" s="1">
        <f t="shared" ca="1" si="55"/>
        <v>-126</v>
      </c>
      <c r="AW145" s="1">
        <f t="shared" ca="1" si="56"/>
        <v>3</v>
      </c>
      <c r="AX145">
        <v>71</v>
      </c>
      <c r="AY145" t="s">
        <v>41</v>
      </c>
      <c r="AZ145">
        <v>1000</v>
      </c>
    </row>
    <row r="146" spans="4:52" x14ac:dyDescent="0.3">
      <c r="D146" t="str">
        <f t="shared" ca="1" si="47"/>
        <v/>
      </c>
      <c r="E146" t="str" cm="1">
        <f t="array" aca="1" ref="E146" ca="1">_xlfn.IFS(D146="","",D146="Starstone", VLOOKUP($BK$4,$BK$6:$BM$11,3)*AI149*AJ149, D146 = "Tristal", VLOOKUP($BK$14,$BK$16:$BM$24,3)*AI149*AJ149, 1=1, VLOOKUP(AO149,$AX$75:$AZ$174,3)*AI149*AJ149)</f>
        <v/>
      </c>
      <c r="F146" t="str" cm="1">
        <f t="array" aca="1" ref="F146" ca="1">IF(D146="","",_xlfn.IFS(AH149&gt;5,"Normal",AND(AH149&lt;=5,$BK$28&lt;=4),VLOOKUP(AF149,$BK$29:$BN$39,2),AND(AH149&lt;=5,$BK$28&gt;=9),VLOOKUP(AF149,$BK$29:$BN$39,2), 1=1, "Normal"))</f>
        <v/>
      </c>
      <c r="G146" t="str" cm="1">
        <f t="array" aca="1" ref="G146" ca="1">IF(D146="","",_xlfn.IFS(AH149&gt;5, "Normal", AND(AH149&lt;=5, $BL$28&lt;=8, $BL$28&gt;=5), VLOOKUP(AG149,$BK$29:$BN$39,3), AND(AH149&lt;=5,$BK$28&gt;=9), VLOOKUP(AG149,$BK$29:$BN$39,3), 1=1, "Normal"))</f>
        <v/>
      </c>
      <c r="H146" t="str">
        <f t="shared" ca="1" si="44"/>
        <v/>
      </c>
      <c r="I146" t="str">
        <f t="shared" ca="1" si="45"/>
        <v/>
      </c>
      <c r="K146" t="str" cm="1">
        <f t="array" aca="1" ref="K146" ca="1">IF(L146="","",(_xlfn.IFS(L146&gt;=15000,VLOOKUP(AW149,$BE$5:$BH$15,4),L146&gt;=4000,VLOOKUP(AW149,$BE$5:$BH$15,3),L146&gt;=100,VLOOKUP(AW149,$BE$5:$BH$15,2))))</f>
        <v/>
      </c>
      <c r="L146" t="str">
        <f t="shared" ca="1" si="46"/>
        <v/>
      </c>
      <c r="AF146" s="1">
        <f t="shared" ca="1" si="50"/>
        <v>1</v>
      </c>
      <c r="AG146" s="1">
        <f t="shared" ca="1" si="50"/>
        <v>9</v>
      </c>
      <c r="AH146" s="1"/>
      <c r="AI146" s="1">
        <f t="shared" ca="1" si="48"/>
        <v>0.125</v>
      </c>
      <c r="AJ146" s="1">
        <f t="shared" ca="1" si="49"/>
        <v>4</v>
      </c>
      <c r="AO146" s="1">
        <f t="shared" ca="1" si="52"/>
        <v>74</v>
      </c>
      <c r="AP146" s="1">
        <f t="shared" ca="1" si="53"/>
        <v>-70</v>
      </c>
      <c r="AS146" s="1">
        <f t="shared" ca="1" si="54"/>
        <v>36</v>
      </c>
      <c r="AV146" s="1">
        <f t="shared" ca="1" si="55"/>
        <v>-127</v>
      </c>
      <c r="AW146" s="1">
        <f t="shared" ca="1" si="56"/>
        <v>4</v>
      </c>
      <c r="AX146">
        <v>72</v>
      </c>
      <c r="AY146" t="s">
        <v>42</v>
      </c>
      <c r="AZ146">
        <v>5000</v>
      </c>
    </row>
    <row r="147" spans="4:52" x14ac:dyDescent="0.3">
      <c r="D147" t="str">
        <f t="shared" ca="1" si="47"/>
        <v/>
      </c>
      <c r="E147" t="str" cm="1">
        <f t="array" aca="1" ref="E147" ca="1">_xlfn.IFS(D147="","",D147="Starstone", VLOOKUP($BK$4,$BK$6:$BM$11,3)*AI150*AJ150, D147 = "Tristal", VLOOKUP($BK$14,$BK$16:$BM$24,3)*AI150*AJ150, 1=1, VLOOKUP(AO150,$AX$75:$AZ$174,3)*AI150*AJ150)</f>
        <v/>
      </c>
      <c r="F147" t="str" cm="1">
        <f t="array" aca="1" ref="F147" ca="1">IF(D147="","",_xlfn.IFS(AH150&gt;5,"Normal",AND(AH150&lt;=5,$BK$28&lt;=4),VLOOKUP(AF150,$BK$29:$BN$39,2),AND(AH150&lt;=5,$BK$28&gt;=9),VLOOKUP(AF150,$BK$29:$BN$39,2), 1=1, "Normal"))</f>
        <v/>
      </c>
      <c r="G147" t="str" cm="1">
        <f t="array" aca="1" ref="G147" ca="1">IF(D147="","",_xlfn.IFS(AH150&gt;5, "Normal", AND(AH150&lt;=5, $BL$28&lt;=8, $BL$28&gt;=5), VLOOKUP(AG150,$BK$29:$BN$39,3), AND(AH150&lt;=5,$BK$28&gt;=9), VLOOKUP(AG150,$BK$29:$BN$39,3), 1=1, "Normal"))</f>
        <v/>
      </c>
      <c r="H147" t="str">
        <f t="shared" ca="1" si="44"/>
        <v/>
      </c>
      <c r="I147" t="str">
        <f t="shared" ca="1" si="45"/>
        <v/>
      </c>
      <c r="K147" t="str" cm="1">
        <f t="array" aca="1" ref="K147" ca="1">IF(L147="","",(_xlfn.IFS(L147&gt;=15000,VLOOKUP(AW150,$BE$5:$BH$15,4),L147&gt;=4000,VLOOKUP(AW150,$BE$5:$BH$15,3),L147&gt;=100,VLOOKUP(AW150,$BE$5:$BH$15,2))))</f>
        <v/>
      </c>
      <c r="L147" t="str">
        <f t="shared" ca="1" si="46"/>
        <v/>
      </c>
      <c r="AF147" s="1">
        <f t="shared" ca="1" si="50"/>
        <v>7</v>
      </c>
      <c r="AG147" s="1">
        <f t="shared" ca="1" si="50"/>
        <v>4</v>
      </c>
      <c r="AH147" s="1"/>
      <c r="AI147" s="1">
        <f t="shared" ca="1" si="48"/>
        <v>2</v>
      </c>
      <c r="AJ147" s="1">
        <f t="shared" ca="1" si="49"/>
        <v>0.5</v>
      </c>
      <c r="AO147" s="1">
        <f t="shared" ca="1" si="52"/>
        <v>93</v>
      </c>
      <c r="AP147" s="1">
        <f t="shared" ca="1" si="53"/>
        <v>-71</v>
      </c>
      <c r="AS147" s="1">
        <f t="shared" ca="1" si="54"/>
        <v>48</v>
      </c>
      <c r="AV147" s="1">
        <f t="shared" ca="1" si="55"/>
        <v>-128</v>
      </c>
      <c r="AW147" s="1">
        <f t="shared" ca="1" si="56"/>
        <v>9</v>
      </c>
      <c r="AX147">
        <v>73</v>
      </c>
      <c r="AY147" t="s">
        <v>43</v>
      </c>
      <c r="AZ147">
        <v>5000</v>
      </c>
    </row>
    <row r="148" spans="4:52" x14ac:dyDescent="0.3">
      <c r="D148" t="str">
        <f t="shared" ca="1" si="47"/>
        <v/>
      </c>
      <c r="E148" t="str" cm="1">
        <f t="array" aca="1" ref="E148" ca="1">_xlfn.IFS(D148="","",D148="Starstone", VLOOKUP($BK$4,$BK$6:$BM$11,3)*AI151*AJ151, D148 = "Tristal", VLOOKUP($BK$14,$BK$16:$BM$24,3)*AI151*AJ151, 1=1, VLOOKUP(AO151,$AX$75:$AZ$174,3)*AI151*AJ151)</f>
        <v/>
      </c>
      <c r="F148" t="str" cm="1">
        <f t="array" aca="1" ref="F148" ca="1">IF(D148="","",_xlfn.IFS(AH151&gt;5,"Normal",AND(AH151&lt;=5,$BK$28&lt;=4),VLOOKUP(AF151,$BK$29:$BN$39,2),AND(AH151&lt;=5,$BK$28&gt;=9),VLOOKUP(AF151,$BK$29:$BN$39,2), 1=1, "Normal"))</f>
        <v/>
      </c>
      <c r="G148" t="str" cm="1">
        <f t="array" aca="1" ref="G148" ca="1">IF(D148="","",_xlfn.IFS(AH151&gt;5, "Normal", AND(AH151&lt;=5, $BL$28&lt;=8, $BL$28&gt;=5), VLOOKUP(AG151,$BK$29:$BN$39,3), AND(AH151&lt;=5,$BK$28&gt;=9), VLOOKUP(AG151,$BK$29:$BN$39,3), 1=1, "Normal"))</f>
        <v/>
      </c>
      <c r="H148" t="str">
        <f t="shared" ca="1" si="44"/>
        <v/>
      </c>
      <c r="I148" t="str">
        <f t="shared" ca="1" si="45"/>
        <v/>
      </c>
      <c r="K148" t="str" cm="1">
        <f t="array" aca="1" ref="K148" ca="1">IF(L148="","",(_xlfn.IFS(L148&gt;=15000,VLOOKUP(AW151,$BE$5:$BH$15,4),L148&gt;=4000,VLOOKUP(AW151,$BE$5:$BH$15,3),L148&gt;=100,VLOOKUP(AW151,$BE$5:$BH$15,2))))</f>
        <v/>
      </c>
      <c r="L148" t="str">
        <f t="shared" ca="1" si="46"/>
        <v/>
      </c>
      <c r="AF148" s="1">
        <f t="shared" ca="1" si="50"/>
        <v>6</v>
      </c>
      <c r="AG148" s="1">
        <f t="shared" ca="1" si="50"/>
        <v>3</v>
      </c>
      <c r="AH148" s="1"/>
      <c r="AI148" s="1">
        <f t="shared" ca="1" si="48"/>
        <v>2</v>
      </c>
      <c r="AJ148" s="1">
        <f t="shared" ca="1" si="49"/>
        <v>0.25</v>
      </c>
      <c r="AO148" s="1">
        <f t="shared" ca="1" si="52"/>
        <v>100</v>
      </c>
      <c r="AP148" s="1">
        <f t="shared" ca="1" si="53"/>
        <v>-72</v>
      </c>
      <c r="AS148" s="1">
        <f t="shared" ca="1" si="54"/>
        <v>60</v>
      </c>
      <c r="AV148" s="1">
        <f t="shared" ca="1" si="55"/>
        <v>-129</v>
      </c>
      <c r="AW148" s="1">
        <f t="shared" ca="1" si="56"/>
        <v>7</v>
      </c>
      <c r="AX148">
        <v>74</v>
      </c>
      <c r="AY148" t="s">
        <v>44</v>
      </c>
      <c r="AZ148">
        <v>5000</v>
      </c>
    </row>
    <row r="149" spans="4:52" x14ac:dyDescent="0.3">
      <c r="D149" t="str">
        <f t="shared" ca="1" si="47"/>
        <v/>
      </c>
      <c r="E149" t="str" cm="1">
        <f t="array" aca="1" ref="E149" ca="1">_xlfn.IFS(D149="","",D149="Starstone", VLOOKUP($BK$4,$BK$6:$BM$11,3)*AI152*AJ152, D149 = "Tristal", VLOOKUP($BK$14,$BK$16:$BM$24,3)*AI152*AJ152, 1=1, VLOOKUP(AO152,$AX$75:$AZ$174,3)*AI152*AJ152)</f>
        <v/>
      </c>
      <c r="F149" t="str" cm="1">
        <f t="array" aca="1" ref="F149" ca="1">IF(D149="","",_xlfn.IFS(AH152&gt;5,"Normal",AND(AH152&lt;=5,$BK$28&lt;=4),VLOOKUP(AF152,$BK$29:$BN$39,2),AND(AH152&lt;=5,$BK$28&gt;=9),VLOOKUP(AF152,$BK$29:$BN$39,2), 1=1, "Normal"))</f>
        <v/>
      </c>
      <c r="G149" t="str" cm="1">
        <f t="array" aca="1" ref="G149" ca="1">IF(D149="","",_xlfn.IFS(AH152&gt;5, "Normal", AND(AH152&lt;=5, $BL$28&lt;=8, $BL$28&gt;=5), VLOOKUP(AG152,$BK$29:$BN$39,3), AND(AH152&lt;=5,$BK$28&gt;=9), VLOOKUP(AG152,$BK$29:$BN$39,3), 1=1, "Normal"))</f>
        <v/>
      </c>
      <c r="H149" t="str">
        <f t="shared" ca="1" si="44"/>
        <v/>
      </c>
      <c r="I149" t="str">
        <f t="shared" ca="1" si="45"/>
        <v/>
      </c>
      <c r="K149" t="str" cm="1">
        <f t="array" aca="1" ref="K149" ca="1">IF(L149="","",(_xlfn.IFS(L149&gt;=15000,VLOOKUP(AW152,$BE$5:$BH$15,4),L149&gt;=4000,VLOOKUP(AW152,$BE$5:$BH$15,3),L149&gt;=100,VLOOKUP(AW152,$BE$5:$BH$15,2))))</f>
        <v/>
      </c>
      <c r="L149" t="str">
        <f t="shared" ca="1" si="46"/>
        <v/>
      </c>
      <c r="AF149" s="1">
        <f t="shared" ca="1" si="50"/>
        <v>9</v>
      </c>
      <c r="AG149" s="1">
        <f t="shared" ca="1" si="50"/>
        <v>4</v>
      </c>
      <c r="AH149" s="1"/>
      <c r="AI149" s="1">
        <f t="shared" ca="1" si="48"/>
        <v>4</v>
      </c>
      <c r="AJ149" s="1">
        <f t="shared" ca="1" si="49"/>
        <v>0.5</v>
      </c>
      <c r="AO149" s="1">
        <f t="shared" ca="1" si="52"/>
        <v>72</v>
      </c>
      <c r="AP149" s="1">
        <f t="shared" ca="1" si="53"/>
        <v>-73</v>
      </c>
      <c r="AS149" s="1">
        <f t="shared" ca="1" si="54"/>
        <v>83</v>
      </c>
      <c r="AV149" s="1">
        <f t="shared" ca="1" si="55"/>
        <v>-130</v>
      </c>
      <c r="AW149" s="1">
        <f t="shared" ca="1" si="56"/>
        <v>8</v>
      </c>
      <c r="AX149">
        <v>75</v>
      </c>
      <c r="AY149" t="s">
        <v>42</v>
      </c>
      <c r="AZ149">
        <v>5000</v>
      </c>
    </row>
    <row r="150" spans="4:52" x14ac:dyDescent="0.3">
      <c r="D150" t="str">
        <f t="shared" ca="1" si="47"/>
        <v/>
      </c>
      <c r="E150" t="str" cm="1">
        <f t="array" aca="1" ref="E150" ca="1">_xlfn.IFS(D150="","",D150="Starstone", VLOOKUP($BK$4,$BK$6:$BM$11,3)*AI153*AJ153, D150 = "Tristal", VLOOKUP($BK$14,$BK$16:$BM$24,3)*AI153*AJ153, 1=1, VLOOKUP(AO153,$AX$75:$AZ$174,3)*AI153*AJ153)</f>
        <v/>
      </c>
      <c r="F150" t="str" cm="1">
        <f t="array" aca="1" ref="F150" ca="1">IF(D150="","",_xlfn.IFS(AH153&gt;5,"Normal",AND(AH153&lt;=5,$BK$28&lt;=4),VLOOKUP(AF153,$BK$29:$BN$39,2),AND(AH153&lt;=5,$BK$28&gt;=9),VLOOKUP(AF153,$BK$29:$BN$39,2), 1=1, "Normal"))</f>
        <v/>
      </c>
      <c r="G150" t="str" cm="1">
        <f t="array" aca="1" ref="G150" ca="1">IF(D150="","",_xlfn.IFS(AH153&gt;5, "Normal", AND(AH153&lt;=5, $BL$28&lt;=8, $BL$28&gt;=5), VLOOKUP(AG153,$BK$29:$BN$39,3), AND(AH153&lt;=5,$BK$28&gt;=9), VLOOKUP(AG153,$BK$29:$BN$39,3), 1=1, "Normal"))</f>
        <v/>
      </c>
      <c r="H150" t="str">
        <f t="shared" ca="1" si="44"/>
        <v/>
      </c>
      <c r="I150" t="str">
        <f t="shared" ca="1" si="45"/>
        <v/>
      </c>
      <c r="K150" t="str" cm="1">
        <f t="array" aca="1" ref="K150" ca="1">IF(L150="","",(_xlfn.IFS(L150&gt;=15000,VLOOKUP(AW153,$BE$5:$BH$15,4),L150&gt;=4000,VLOOKUP(AW153,$BE$5:$BH$15,3),L150&gt;=100,VLOOKUP(AW153,$BE$5:$BH$15,2))))</f>
        <v/>
      </c>
      <c r="L150" t="str">
        <f t="shared" ca="1" si="46"/>
        <v/>
      </c>
      <c r="AF150" s="1">
        <f t="shared" ca="1" si="50"/>
        <v>2</v>
      </c>
      <c r="AG150" s="1">
        <f t="shared" ca="1" si="50"/>
        <v>10</v>
      </c>
      <c r="AH150" s="1"/>
      <c r="AI150" s="1">
        <f t="shared" ca="1" si="48"/>
        <v>0.25</v>
      </c>
      <c r="AJ150" s="1">
        <f t="shared" ca="1" si="49"/>
        <v>8</v>
      </c>
      <c r="AO150" s="1">
        <f t="shared" ca="1" si="52"/>
        <v>74</v>
      </c>
      <c r="AP150" s="1">
        <f t="shared" ca="1" si="53"/>
        <v>-74</v>
      </c>
      <c r="AS150" s="1">
        <f t="shared" ca="1" si="54"/>
        <v>53</v>
      </c>
      <c r="AV150" s="1">
        <f t="shared" ca="1" si="55"/>
        <v>-131</v>
      </c>
      <c r="AW150" s="1">
        <f t="shared" ca="1" si="56"/>
        <v>3</v>
      </c>
      <c r="AX150">
        <v>76</v>
      </c>
      <c r="AY150" t="s">
        <v>43</v>
      </c>
      <c r="AZ150">
        <v>5000</v>
      </c>
    </row>
    <row r="151" spans="4:52" x14ac:dyDescent="0.3">
      <c r="D151" t="str">
        <f t="shared" ca="1" si="47"/>
        <v/>
      </c>
      <c r="E151" t="str" cm="1">
        <f t="array" aca="1" ref="E151" ca="1">_xlfn.IFS(D151="","",D151="Starstone", VLOOKUP($BK$4,$BK$6:$BM$11,3)*AI154*AJ154, D151 = "Tristal", VLOOKUP($BK$14,$BK$16:$BM$24,3)*AI154*AJ154, 1=1, VLOOKUP(AO154,$AX$75:$AZ$174,3)*AI154*AJ154)</f>
        <v/>
      </c>
      <c r="F151" t="str" cm="1">
        <f t="array" aca="1" ref="F151" ca="1">IF(D151="","",_xlfn.IFS(AH154&gt;5,"Normal",AND(AH154&lt;=5,$BK$28&lt;=4),VLOOKUP(AF154,$BK$29:$BN$39,2),AND(AH154&lt;=5,$BK$28&gt;=9),VLOOKUP(AF154,$BK$29:$BN$39,2), 1=1, "Normal"))</f>
        <v/>
      </c>
      <c r="G151" t="str" cm="1">
        <f t="array" aca="1" ref="G151" ca="1">IF(D151="","",_xlfn.IFS(AH154&gt;5, "Normal", AND(AH154&lt;=5, $BL$28&lt;=8, $BL$28&gt;=5), VLOOKUP(AG154,$BK$29:$BN$39,3), AND(AH154&lt;=5,$BK$28&gt;=9), VLOOKUP(AG154,$BK$29:$BN$39,3), 1=1, "Normal"))</f>
        <v/>
      </c>
      <c r="H151" t="str">
        <f t="shared" ca="1" si="44"/>
        <v/>
      </c>
      <c r="I151" t="str">
        <f t="shared" ca="1" si="45"/>
        <v/>
      </c>
      <c r="K151" t="str" cm="1">
        <f t="array" aca="1" ref="K151" ca="1">IF(L151="","",(_xlfn.IFS(L151&gt;=15000,VLOOKUP(AW154,$BE$5:$BH$15,4),L151&gt;=4000,VLOOKUP(AW154,$BE$5:$BH$15,3),L151&gt;=100,VLOOKUP(AW154,$BE$5:$BH$15,2))))</f>
        <v/>
      </c>
      <c r="L151" t="str">
        <f t="shared" ca="1" si="46"/>
        <v/>
      </c>
      <c r="AF151" s="1">
        <f t="shared" ca="1" si="50"/>
        <v>3</v>
      </c>
      <c r="AG151" s="1">
        <f t="shared" ca="1" si="50"/>
        <v>7</v>
      </c>
      <c r="AH151" s="1"/>
      <c r="AI151" s="1">
        <f t="shared" ca="1" si="48"/>
        <v>0.25</v>
      </c>
      <c r="AJ151" s="1">
        <f t="shared" ca="1" si="49"/>
        <v>2</v>
      </c>
      <c r="AO151" s="1">
        <f t="shared" ca="1" si="52"/>
        <v>27</v>
      </c>
      <c r="AP151" s="1">
        <f t="shared" ca="1" si="53"/>
        <v>-75</v>
      </c>
      <c r="AS151" s="1">
        <f t="shared" ca="1" si="54"/>
        <v>12</v>
      </c>
      <c r="AV151" s="1">
        <f t="shared" ca="1" si="55"/>
        <v>-132</v>
      </c>
      <c r="AW151" s="1">
        <f t="shared" ca="1" si="56"/>
        <v>4</v>
      </c>
      <c r="AX151">
        <v>77</v>
      </c>
      <c r="AY151" t="s">
        <v>44</v>
      </c>
      <c r="AZ151">
        <v>5000</v>
      </c>
    </row>
    <row r="152" spans="4:52" x14ac:dyDescent="0.3">
      <c r="D152" t="str">
        <f t="shared" ca="1" si="47"/>
        <v/>
      </c>
      <c r="E152" t="str" cm="1">
        <f t="array" aca="1" ref="E152" ca="1">_xlfn.IFS(D152="","",D152="Starstone", VLOOKUP($BK$4,$BK$6:$BM$11,3)*AI155*AJ155, D152 = "Tristal", VLOOKUP($BK$14,$BK$16:$BM$24,3)*AI155*AJ155, 1=1, VLOOKUP(AO155,$AX$75:$AZ$174,3)*AI155*AJ155)</f>
        <v/>
      </c>
      <c r="F152" t="str" cm="1">
        <f t="array" aca="1" ref="F152" ca="1">IF(D152="","",_xlfn.IFS(AH155&gt;5,"Normal",AND(AH155&lt;=5,$BK$28&lt;=4),VLOOKUP(AF155,$BK$29:$BN$39,2),AND(AH155&lt;=5,$BK$28&gt;=9),VLOOKUP(AF155,$BK$29:$BN$39,2), 1=1, "Normal"))</f>
        <v/>
      </c>
      <c r="G152" t="str" cm="1">
        <f t="array" aca="1" ref="G152" ca="1">IF(D152="","",_xlfn.IFS(AH155&gt;5, "Normal", AND(AH155&lt;=5, $BL$28&lt;=8, $BL$28&gt;=5), VLOOKUP(AG155,$BK$29:$BN$39,3), AND(AH155&lt;=5,$BK$28&gt;=9), VLOOKUP(AG155,$BK$29:$BN$39,3), 1=1, "Normal"))</f>
        <v/>
      </c>
      <c r="H152" t="str">
        <f t="shared" ca="1" si="44"/>
        <v/>
      </c>
      <c r="I152" t="str">
        <f t="shared" ca="1" si="45"/>
        <v/>
      </c>
      <c r="K152" t="str" cm="1">
        <f t="array" aca="1" ref="K152" ca="1">IF(L152="","",(_xlfn.IFS(L152&gt;=15000,VLOOKUP(AW155,$BE$5:$BH$15,4),L152&gt;=4000,VLOOKUP(AW155,$BE$5:$BH$15,3),L152&gt;=100,VLOOKUP(AW155,$BE$5:$BH$15,2))))</f>
        <v/>
      </c>
      <c r="L152" t="str">
        <f t="shared" ca="1" si="46"/>
        <v/>
      </c>
      <c r="AF152" s="1">
        <f t="shared" ca="1" si="50"/>
        <v>1</v>
      </c>
      <c r="AG152" s="1">
        <f t="shared" ca="1" si="50"/>
        <v>1</v>
      </c>
      <c r="AH152" s="1"/>
      <c r="AI152" s="1">
        <f t="shared" ca="1" si="48"/>
        <v>0.125</v>
      </c>
      <c r="AJ152" s="1">
        <f t="shared" ca="1" si="49"/>
        <v>0.125</v>
      </c>
      <c r="AO152" s="1">
        <f t="shared" ca="1" si="52"/>
        <v>21</v>
      </c>
      <c r="AP152" s="1">
        <f t="shared" ca="1" si="53"/>
        <v>-76</v>
      </c>
      <c r="AS152" s="1">
        <f t="shared" ca="1" si="54"/>
        <v>62</v>
      </c>
      <c r="AV152" s="1">
        <f t="shared" ca="1" si="55"/>
        <v>-133</v>
      </c>
      <c r="AW152" s="1">
        <f t="shared" ca="1" si="56"/>
        <v>5</v>
      </c>
      <c r="AX152">
        <v>78</v>
      </c>
      <c r="AY152" t="s">
        <v>42</v>
      </c>
      <c r="AZ152">
        <v>5000</v>
      </c>
    </row>
    <row r="153" spans="4:52" x14ac:dyDescent="0.3">
      <c r="D153" t="str">
        <f t="shared" ca="1" si="47"/>
        <v/>
      </c>
      <c r="E153" t="str" cm="1">
        <f t="array" aca="1" ref="E153" ca="1">_xlfn.IFS(D153="","",D153="Starstone", VLOOKUP($BK$4,$BK$6:$BM$11,3)*AI156*AJ156, D153 = "Tristal", VLOOKUP($BK$14,$BK$16:$BM$24,3)*AI156*AJ156, 1=1, VLOOKUP(AO156,$AX$75:$AZ$174,3)*AI156*AJ156)</f>
        <v/>
      </c>
      <c r="F153" t="str" cm="1">
        <f t="array" aca="1" ref="F153" ca="1">IF(D153="","",_xlfn.IFS(AH156&gt;5,"Normal",AND(AH156&lt;=5,$BK$28&lt;=4),VLOOKUP(AF156,$BK$29:$BN$39,2),AND(AH156&lt;=5,$BK$28&gt;=9),VLOOKUP(AF156,$BK$29:$BN$39,2), 1=1, "Normal"))</f>
        <v/>
      </c>
      <c r="G153" t="str" cm="1">
        <f t="array" aca="1" ref="G153" ca="1">IF(D153="","",_xlfn.IFS(AH156&gt;5, "Normal", AND(AH156&lt;=5, $BL$28&lt;=8, $BL$28&gt;=5), VLOOKUP(AG156,$BK$29:$BN$39,3), AND(AH156&lt;=5,$BK$28&gt;=9), VLOOKUP(AG156,$BK$29:$BN$39,3), 1=1, "Normal"))</f>
        <v/>
      </c>
      <c r="H153" t="str">
        <f t="shared" ca="1" si="44"/>
        <v/>
      </c>
      <c r="I153" t="str">
        <f t="shared" ca="1" si="45"/>
        <v/>
      </c>
      <c r="K153" t="str" cm="1">
        <f t="array" aca="1" ref="K153" ca="1">IF(L153="","",(_xlfn.IFS(L153&gt;=15000,VLOOKUP(AW156,$BE$5:$BH$15,4),L153&gt;=4000,VLOOKUP(AW156,$BE$5:$BH$15,3),L153&gt;=100,VLOOKUP(AW156,$BE$5:$BH$15,2))))</f>
        <v/>
      </c>
      <c r="L153" t="str">
        <f t="shared" ca="1" si="46"/>
        <v/>
      </c>
      <c r="AF153" s="1">
        <f t="shared" ca="1" si="50"/>
        <v>9</v>
      </c>
      <c r="AG153" s="1">
        <f t="shared" ca="1" si="50"/>
        <v>5</v>
      </c>
      <c r="AH153" s="1"/>
      <c r="AI153" s="1">
        <f t="shared" ca="1" si="48"/>
        <v>4</v>
      </c>
      <c r="AJ153" s="1">
        <f t="shared" ca="1" si="49"/>
        <v>0.5</v>
      </c>
      <c r="AO153" s="1">
        <f t="shared" ca="1" si="52"/>
        <v>54</v>
      </c>
      <c r="AP153" s="1">
        <f t="shared" ca="1" si="53"/>
        <v>-77</v>
      </c>
      <c r="AS153" s="1">
        <f t="shared" ca="1" si="54"/>
        <v>42</v>
      </c>
      <c r="AV153" s="1">
        <f t="shared" ca="1" si="55"/>
        <v>-134</v>
      </c>
      <c r="AW153" s="1">
        <f t="shared" ca="1" si="56"/>
        <v>1</v>
      </c>
      <c r="AX153">
        <v>79</v>
      </c>
      <c r="AY153" t="s">
        <v>43</v>
      </c>
      <c r="AZ153">
        <v>5000</v>
      </c>
    </row>
    <row r="154" spans="4:52" x14ac:dyDescent="0.3">
      <c r="D154" t="str">
        <f t="shared" ca="1" si="47"/>
        <v/>
      </c>
      <c r="E154" t="str" cm="1">
        <f t="array" aca="1" ref="E154" ca="1">_xlfn.IFS(D154="","",D154="Starstone", VLOOKUP($BK$4,$BK$6:$BM$11,3)*AI157*AJ157, D154 = "Tristal", VLOOKUP($BK$14,$BK$16:$BM$24,3)*AI157*AJ157, 1=1, VLOOKUP(AO157,$AX$75:$AZ$174,3)*AI157*AJ157)</f>
        <v/>
      </c>
      <c r="F154" t="str" cm="1">
        <f t="array" aca="1" ref="F154" ca="1">IF(D154="","",_xlfn.IFS(AH157&gt;5,"Normal",AND(AH157&lt;=5,$BK$28&lt;=4),VLOOKUP(AF157,$BK$29:$BN$39,2),AND(AH157&lt;=5,$BK$28&gt;=9),VLOOKUP(AF157,$BK$29:$BN$39,2), 1=1, "Normal"))</f>
        <v/>
      </c>
      <c r="G154" t="str" cm="1">
        <f t="array" aca="1" ref="G154" ca="1">IF(D154="","",_xlfn.IFS(AH157&gt;5, "Normal", AND(AH157&lt;=5, $BL$28&lt;=8, $BL$28&gt;=5), VLOOKUP(AG157,$BK$29:$BN$39,3), AND(AH157&lt;=5,$BK$28&gt;=9), VLOOKUP(AG157,$BK$29:$BN$39,3), 1=1, "Normal"))</f>
        <v/>
      </c>
      <c r="H154" t="str">
        <f t="shared" ca="1" si="44"/>
        <v/>
      </c>
      <c r="I154" t="str">
        <f t="shared" ca="1" si="45"/>
        <v/>
      </c>
      <c r="K154" t="str" cm="1">
        <f t="array" aca="1" ref="K154" ca="1">IF(L154="","",(_xlfn.IFS(L154&gt;=15000,VLOOKUP(AW157,$BE$5:$BH$15,4),L154&gt;=4000,VLOOKUP(AW157,$BE$5:$BH$15,3),L154&gt;=100,VLOOKUP(AW157,$BE$5:$BH$15,2))))</f>
        <v/>
      </c>
      <c r="L154" t="str">
        <f t="shared" ca="1" si="46"/>
        <v/>
      </c>
      <c r="AF154" s="1">
        <f t="shared" ca="1" si="50"/>
        <v>7</v>
      </c>
      <c r="AG154" s="1">
        <f t="shared" ca="1" si="50"/>
        <v>2</v>
      </c>
      <c r="AH154" s="1"/>
      <c r="AI154" s="1">
        <f t="shared" ca="1" si="48"/>
        <v>2</v>
      </c>
      <c r="AJ154" s="1">
        <f t="shared" ca="1" si="49"/>
        <v>0.25</v>
      </c>
      <c r="AO154" s="1">
        <f t="shared" ca="1" si="52"/>
        <v>42</v>
      </c>
      <c r="AP154" s="1">
        <f t="shared" ca="1" si="53"/>
        <v>-78</v>
      </c>
      <c r="AS154" s="1">
        <f t="shared" ca="1" si="54"/>
        <v>13</v>
      </c>
      <c r="AV154" s="1">
        <f t="shared" ca="1" si="55"/>
        <v>-135</v>
      </c>
      <c r="AW154" s="1">
        <f t="shared" ca="1" si="56"/>
        <v>1</v>
      </c>
      <c r="AX154">
        <v>80</v>
      </c>
      <c r="AY154" t="s">
        <v>44</v>
      </c>
      <c r="AZ154">
        <v>5000</v>
      </c>
    </row>
    <row r="155" spans="4:52" x14ac:dyDescent="0.3">
      <c r="D155" t="str">
        <f t="shared" ca="1" si="47"/>
        <v/>
      </c>
      <c r="E155" t="str" cm="1">
        <f t="array" aca="1" ref="E155" ca="1">_xlfn.IFS(D155="","",D155="Starstone", VLOOKUP($BK$4,$BK$6:$BM$11,3)*AI158*AJ158, D155 = "Tristal", VLOOKUP($BK$14,$BK$16:$BM$24,3)*AI158*AJ158, 1=1, VLOOKUP(AO158,$AX$75:$AZ$174,3)*AI158*AJ158)</f>
        <v/>
      </c>
      <c r="F155" t="str" cm="1">
        <f t="array" aca="1" ref="F155" ca="1">IF(D155="","",_xlfn.IFS(AH158&gt;5,"Normal",AND(AH158&lt;=5,$BK$28&lt;=4),VLOOKUP(AF158,$BK$29:$BN$39,2),AND(AH158&lt;=5,$BK$28&gt;=9),VLOOKUP(AF158,$BK$29:$BN$39,2), 1=1, "Normal"))</f>
        <v/>
      </c>
      <c r="G155" t="str" cm="1">
        <f t="array" aca="1" ref="G155" ca="1">IF(D155="","",_xlfn.IFS(AH158&gt;5, "Normal", AND(AH158&lt;=5, $BL$28&lt;=8, $BL$28&gt;=5), VLOOKUP(AG158,$BK$29:$BN$39,3), AND(AH158&lt;=5,$BK$28&gt;=9), VLOOKUP(AG158,$BK$29:$BN$39,3), 1=1, "Normal"))</f>
        <v/>
      </c>
      <c r="H155" t="str">
        <f t="shared" ca="1" si="44"/>
        <v/>
      </c>
      <c r="I155" t="str">
        <f t="shared" ca="1" si="45"/>
        <v/>
      </c>
      <c r="K155" t="str" cm="1">
        <f t="array" aca="1" ref="K155" ca="1">IF(L155="","",(_xlfn.IFS(L155&gt;=15000,VLOOKUP(AW158,$BE$5:$BH$15,4),L155&gt;=4000,VLOOKUP(AW158,$BE$5:$BH$15,3),L155&gt;=100,VLOOKUP(AW158,$BE$5:$BH$15,2))))</f>
        <v/>
      </c>
      <c r="L155" t="str">
        <f t="shared" ca="1" si="46"/>
        <v/>
      </c>
      <c r="AF155" s="1">
        <f t="shared" ca="1" si="50"/>
        <v>10</v>
      </c>
      <c r="AG155" s="1">
        <f t="shared" ca="1" si="50"/>
        <v>10</v>
      </c>
      <c r="AH155" s="1"/>
      <c r="AI155" s="1">
        <f t="shared" ca="1" si="48"/>
        <v>8</v>
      </c>
      <c r="AJ155" s="1">
        <f t="shared" ca="1" si="49"/>
        <v>8</v>
      </c>
      <c r="AO155" s="1">
        <f t="shared" ca="1" si="52"/>
        <v>8</v>
      </c>
      <c r="AP155" s="1">
        <f t="shared" ca="1" si="53"/>
        <v>-79</v>
      </c>
      <c r="AS155" s="1">
        <f t="shared" ca="1" si="54"/>
        <v>85</v>
      </c>
      <c r="AV155" s="1">
        <f t="shared" ca="1" si="55"/>
        <v>-136</v>
      </c>
      <c r="AW155" s="1">
        <f t="shared" ca="1" si="56"/>
        <v>9</v>
      </c>
      <c r="AX155">
        <v>81</v>
      </c>
      <c r="AY155" t="s">
        <v>42</v>
      </c>
      <c r="AZ155">
        <v>5000</v>
      </c>
    </row>
    <row r="156" spans="4:52" x14ac:dyDescent="0.3">
      <c r="D156" t="str">
        <f t="shared" ca="1" si="47"/>
        <v/>
      </c>
      <c r="E156" t="str" cm="1">
        <f t="array" aca="1" ref="E156" ca="1">_xlfn.IFS(D156="","",D156="Starstone", VLOOKUP($BK$4,$BK$6:$BM$11,3)*AI159*AJ159, D156 = "Tristal", VLOOKUP($BK$14,$BK$16:$BM$24,3)*AI159*AJ159, 1=1, VLOOKUP(AO159,$AX$75:$AZ$174,3)*AI159*AJ159)</f>
        <v/>
      </c>
      <c r="F156" t="str" cm="1">
        <f t="array" aca="1" ref="F156" ca="1">IF(D156="","",_xlfn.IFS(AH159&gt;5,"Normal",AND(AH159&lt;=5,$BK$28&lt;=4),VLOOKUP(AF159,$BK$29:$BN$39,2),AND(AH159&lt;=5,$BK$28&gt;=9),VLOOKUP(AF159,$BK$29:$BN$39,2), 1=1, "Normal"))</f>
        <v/>
      </c>
      <c r="G156" t="str" cm="1">
        <f t="array" aca="1" ref="G156" ca="1">IF(D156="","",_xlfn.IFS(AH159&gt;5, "Normal", AND(AH159&lt;=5, $BL$28&lt;=8, $BL$28&gt;=5), VLOOKUP(AG159,$BK$29:$BN$39,3), AND(AH159&lt;=5,$BK$28&gt;=9), VLOOKUP(AG159,$BK$29:$BN$39,3), 1=1, "Normal"))</f>
        <v/>
      </c>
      <c r="H156" t="str">
        <f t="shared" ca="1" si="44"/>
        <v/>
      </c>
      <c r="I156" t="str">
        <f t="shared" ca="1" si="45"/>
        <v/>
      </c>
      <c r="K156" t="str" cm="1">
        <f t="array" aca="1" ref="K156" ca="1">IF(L156="","",(_xlfn.IFS(L156&gt;=15000,VLOOKUP(AW159,$BE$5:$BH$15,4),L156&gt;=4000,VLOOKUP(AW159,$BE$5:$BH$15,3),L156&gt;=100,VLOOKUP(AW159,$BE$5:$BH$15,2))))</f>
        <v/>
      </c>
      <c r="L156" t="str">
        <f t="shared" ca="1" si="46"/>
        <v/>
      </c>
      <c r="AF156" s="1">
        <f t="shared" ca="1" si="50"/>
        <v>8</v>
      </c>
      <c r="AG156" s="1">
        <f t="shared" ca="1" si="50"/>
        <v>6</v>
      </c>
      <c r="AH156" s="1"/>
      <c r="AI156" s="1">
        <f t="shared" ca="1" si="48"/>
        <v>4</v>
      </c>
      <c r="AJ156" s="1">
        <f t="shared" ca="1" si="49"/>
        <v>2</v>
      </c>
      <c r="AO156" s="1">
        <f t="shared" ca="1" si="52"/>
        <v>85</v>
      </c>
      <c r="AP156" s="1">
        <f t="shared" ca="1" si="53"/>
        <v>-80</v>
      </c>
      <c r="AS156" s="1">
        <f t="shared" ca="1" si="54"/>
        <v>29</v>
      </c>
      <c r="AV156" s="1">
        <f t="shared" ca="1" si="55"/>
        <v>-137</v>
      </c>
      <c r="AW156" s="1">
        <f t="shared" ca="1" si="56"/>
        <v>1</v>
      </c>
      <c r="AX156">
        <v>82</v>
      </c>
      <c r="AY156" t="s">
        <v>43</v>
      </c>
      <c r="AZ156">
        <v>5000</v>
      </c>
    </row>
    <row r="157" spans="4:52" x14ac:dyDescent="0.3">
      <c r="D157" t="str">
        <f t="shared" ca="1" si="47"/>
        <v/>
      </c>
      <c r="E157" t="str" cm="1">
        <f t="array" aca="1" ref="E157" ca="1">_xlfn.IFS(D157="","",D157="Starstone", VLOOKUP($BK$4,$BK$6:$BM$11,3)*AI160*AJ160, D157 = "Tristal", VLOOKUP($BK$14,$BK$16:$BM$24,3)*AI160*AJ160, 1=1, VLOOKUP(AO160,$AX$75:$AZ$174,3)*AI160*AJ160)</f>
        <v/>
      </c>
      <c r="F157" t="str" cm="1">
        <f t="array" aca="1" ref="F157" ca="1">IF(D157="","",_xlfn.IFS(AH160&gt;5,"Normal",AND(AH160&lt;=5,$BK$28&lt;=4),VLOOKUP(AF160,$BK$29:$BN$39,2),AND(AH160&lt;=5,$BK$28&gt;=9),VLOOKUP(AF160,$BK$29:$BN$39,2), 1=1, "Normal"))</f>
        <v/>
      </c>
      <c r="G157" t="str" cm="1">
        <f t="array" aca="1" ref="G157" ca="1">IF(D157="","",_xlfn.IFS(AH160&gt;5, "Normal", AND(AH160&lt;=5, $BL$28&lt;=8, $BL$28&gt;=5), VLOOKUP(AG160,$BK$29:$BN$39,3), AND(AH160&lt;=5,$BK$28&gt;=9), VLOOKUP(AG160,$BK$29:$BN$39,3), 1=1, "Normal"))</f>
        <v/>
      </c>
      <c r="H157" t="str">
        <f t="shared" ca="1" si="44"/>
        <v/>
      </c>
      <c r="I157" t="str">
        <f t="shared" ca="1" si="45"/>
        <v/>
      </c>
      <c r="K157" t="str" cm="1">
        <f t="array" aca="1" ref="K157" ca="1">IF(L157="","",(_xlfn.IFS(L157&gt;=15000,VLOOKUP(AW160,$BE$5:$BH$15,4),L157&gt;=4000,VLOOKUP(AW160,$BE$5:$BH$15,3),L157&gt;=100,VLOOKUP(AW160,$BE$5:$BH$15,2))))</f>
        <v/>
      </c>
      <c r="L157" t="str">
        <f t="shared" ca="1" si="46"/>
        <v/>
      </c>
      <c r="AF157" s="1">
        <f t="shared" ca="1" si="50"/>
        <v>7</v>
      </c>
      <c r="AG157" s="1">
        <f t="shared" ca="1" si="50"/>
        <v>4</v>
      </c>
      <c r="AH157" s="1"/>
      <c r="AI157" s="1">
        <f t="shared" ca="1" si="48"/>
        <v>2</v>
      </c>
      <c r="AJ157" s="1">
        <f t="shared" ca="1" si="49"/>
        <v>0.5</v>
      </c>
      <c r="AO157" s="1">
        <f t="shared" ca="1" si="52"/>
        <v>47</v>
      </c>
      <c r="AP157" s="1">
        <f t="shared" ca="1" si="53"/>
        <v>-81</v>
      </c>
      <c r="AS157" s="1">
        <f t="shared" ca="1" si="54"/>
        <v>100</v>
      </c>
      <c r="AV157" s="1">
        <f t="shared" ca="1" si="55"/>
        <v>-138</v>
      </c>
      <c r="AW157" s="1">
        <f t="shared" ca="1" si="56"/>
        <v>9</v>
      </c>
      <c r="AX157">
        <v>83</v>
      </c>
      <c r="AY157" t="s">
        <v>44</v>
      </c>
      <c r="AZ157">
        <v>5000</v>
      </c>
    </row>
    <row r="158" spans="4:52" x14ac:dyDescent="0.3">
      <c r="D158" t="str">
        <f t="shared" ca="1" si="47"/>
        <v/>
      </c>
      <c r="E158" t="str" cm="1">
        <f t="array" aca="1" ref="E158" ca="1">_xlfn.IFS(D158="","",D158="Starstone", VLOOKUP($BK$4,$BK$6:$BM$11,3)*AI161*AJ161, D158 = "Tristal", VLOOKUP($BK$14,$BK$16:$BM$24,3)*AI161*AJ161, 1=1, VLOOKUP(AO161,$AX$75:$AZ$174,3)*AI161*AJ161)</f>
        <v/>
      </c>
      <c r="F158" t="str" cm="1">
        <f t="array" aca="1" ref="F158" ca="1">IF(D158="","",_xlfn.IFS(AH161&gt;5,"Normal",AND(AH161&lt;=5,$BK$28&lt;=4),VLOOKUP(AF161,$BK$29:$BN$39,2),AND(AH161&lt;=5,$BK$28&gt;=9),VLOOKUP(AF161,$BK$29:$BN$39,2), 1=1, "Normal"))</f>
        <v/>
      </c>
      <c r="G158" t="str" cm="1">
        <f t="array" aca="1" ref="G158" ca="1">IF(D158="","",_xlfn.IFS(AH161&gt;5, "Normal", AND(AH161&lt;=5, $BL$28&lt;=8, $BL$28&gt;=5), VLOOKUP(AG161,$BK$29:$BN$39,3), AND(AH161&lt;=5,$BK$28&gt;=9), VLOOKUP(AG161,$BK$29:$BN$39,3), 1=1, "Normal"))</f>
        <v/>
      </c>
      <c r="H158" t="str">
        <f t="shared" ca="1" si="44"/>
        <v/>
      </c>
      <c r="I158" t="str">
        <f t="shared" ca="1" si="45"/>
        <v/>
      </c>
      <c r="K158" t="str" cm="1">
        <f t="array" aca="1" ref="K158" ca="1">IF(L158="","",(_xlfn.IFS(L158&gt;=15000,VLOOKUP(AW161,$BE$5:$BH$15,4),L158&gt;=4000,VLOOKUP(AW161,$BE$5:$BH$15,3),L158&gt;=100,VLOOKUP(AW161,$BE$5:$BH$15,2))))</f>
        <v/>
      </c>
      <c r="L158" t="str">
        <f t="shared" ca="1" si="46"/>
        <v/>
      </c>
      <c r="AF158" s="1">
        <f t="shared" ca="1" si="50"/>
        <v>6</v>
      </c>
      <c r="AG158" s="1">
        <f t="shared" ca="1" si="50"/>
        <v>7</v>
      </c>
      <c r="AH158" s="1"/>
      <c r="AI158" s="1">
        <f t="shared" ca="1" si="48"/>
        <v>2</v>
      </c>
      <c r="AJ158" s="1">
        <f t="shared" ca="1" si="49"/>
        <v>2</v>
      </c>
      <c r="AO158" s="1">
        <f t="shared" ca="1" si="52"/>
        <v>45</v>
      </c>
      <c r="AP158" s="1">
        <f t="shared" ca="1" si="53"/>
        <v>-82</v>
      </c>
      <c r="AS158" s="1">
        <f t="shared" ca="1" si="54"/>
        <v>32</v>
      </c>
      <c r="AV158" s="1">
        <f t="shared" ca="1" si="55"/>
        <v>-139</v>
      </c>
      <c r="AW158" s="1">
        <f t="shared" ca="1" si="56"/>
        <v>2</v>
      </c>
      <c r="AX158">
        <v>84</v>
      </c>
      <c r="AY158" t="s">
        <v>42</v>
      </c>
      <c r="AZ158">
        <v>5000</v>
      </c>
    </row>
    <row r="159" spans="4:52" x14ac:dyDescent="0.3">
      <c r="D159" t="str">
        <f t="shared" ca="1" si="47"/>
        <v/>
      </c>
      <c r="E159" t="str" cm="1">
        <f t="array" aca="1" ref="E159" ca="1">_xlfn.IFS(D159="","",D159="Starstone", VLOOKUP($BK$4,$BK$6:$BM$11,3)*AI162*AJ162, D159 = "Tristal", VLOOKUP($BK$14,$BK$16:$BM$24,3)*AI162*AJ162, 1=1, VLOOKUP(AO162,$AX$75:$AZ$174,3)*AI162*AJ162)</f>
        <v/>
      </c>
      <c r="F159" t="str" cm="1">
        <f t="array" aca="1" ref="F159" ca="1">IF(D159="","",_xlfn.IFS(AH162&gt;5,"Normal",AND(AH162&lt;=5,$BK$28&lt;=4),VLOOKUP(AF162,$BK$29:$BN$39,2),AND(AH162&lt;=5,$BK$28&gt;=9),VLOOKUP(AF162,$BK$29:$BN$39,2), 1=1, "Normal"))</f>
        <v/>
      </c>
      <c r="G159" t="str" cm="1">
        <f t="array" aca="1" ref="G159" ca="1">IF(D159="","",_xlfn.IFS(AH162&gt;5, "Normal", AND(AH162&lt;=5, $BL$28&lt;=8, $BL$28&gt;=5), VLOOKUP(AG162,$BK$29:$BN$39,3), AND(AH162&lt;=5,$BK$28&gt;=9), VLOOKUP(AG162,$BK$29:$BN$39,3), 1=1, "Normal"))</f>
        <v/>
      </c>
      <c r="H159" t="str">
        <f t="shared" ca="1" si="44"/>
        <v/>
      </c>
      <c r="I159" t="str">
        <f t="shared" ca="1" si="45"/>
        <v/>
      </c>
      <c r="K159" t="str" cm="1">
        <f t="array" aca="1" ref="K159" ca="1">IF(L159="","",(_xlfn.IFS(L159&gt;=15000,VLOOKUP(AW162,$BE$5:$BH$15,4),L159&gt;=4000,VLOOKUP(AW162,$BE$5:$BH$15,3),L159&gt;=100,VLOOKUP(AW162,$BE$5:$BH$15,2))))</f>
        <v/>
      </c>
      <c r="L159" t="str">
        <f t="shared" ca="1" si="46"/>
        <v/>
      </c>
      <c r="AF159" s="1">
        <f t="shared" ca="1" si="50"/>
        <v>5</v>
      </c>
      <c r="AG159" s="1">
        <f t="shared" ca="1" si="50"/>
        <v>9</v>
      </c>
      <c r="AH159" s="1"/>
      <c r="AI159" s="1">
        <f t="shared" ca="1" si="48"/>
        <v>0.5</v>
      </c>
      <c r="AJ159" s="1">
        <f t="shared" ca="1" si="49"/>
        <v>4</v>
      </c>
      <c r="AO159" s="1">
        <f t="shared" ca="1" si="52"/>
        <v>17</v>
      </c>
      <c r="AP159" s="1">
        <f t="shared" ca="1" si="53"/>
        <v>-83</v>
      </c>
      <c r="AS159" s="1">
        <f t="shared" ca="1" si="54"/>
        <v>10</v>
      </c>
      <c r="AV159" s="1">
        <f t="shared" ca="1" si="55"/>
        <v>-140</v>
      </c>
      <c r="AW159" s="1">
        <f t="shared" ca="1" si="56"/>
        <v>1</v>
      </c>
      <c r="AX159">
        <v>85</v>
      </c>
      <c r="AY159" t="s">
        <v>43</v>
      </c>
      <c r="AZ159">
        <v>5000</v>
      </c>
    </row>
    <row r="160" spans="4:52" x14ac:dyDescent="0.3">
      <c r="D160" t="str">
        <f t="shared" ca="1" si="47"/>
        <v/>
      </c>
      <c r="E160" t="str" cm="1">
        <f t="array" aca="1" ref="E160" ca="1">_xlfn.IFS(D160="","",D160="Starstone", VLOOKUP($BK$4,$BK$6:$BM$11,3)*AI163*AJ163, D160 = "Tristal", VLOOKUP($BK$14,$BK$16:$BM$24,3)*AI163*AJ163, 1=1, VLOOKUP(AO163,$AX$75:$AZ$174,3)*AI163*AJ163)</f>
        <v/>
      </c>
      <c r="F160" t="str" cm="1">
        <f t="array" aca="1" ref="F160" ca="1">IF(D160="","",_xlfn.IFS(AH163&gt;5,"Normal",AND(AH163&lt;=5,$BK$28&lt;=4),VLOOKUP(AF163,$BK$29:$BN$39,2),AND(AH163&lt;=5,$BK$28&gt;=9),VLOOKUP(AF163,$BK$29:$BN$39,2), 1=1, "Normal"))</f>
        <v/>
      </c>
      <c r="G160" t="str" cm="1">
        <f t="array" aca="1" ref="G160" ca="1">IF(D160="","",_xlfn.IFS(AH163&gt;5, "Normal", AND(AH163&lt;=5, $BL$28&lt;=8, $BL$28&gt;=5), VLOOKUP(AG163,$BK$29:$BN$39,3), AND(AH163&lt;=5,$BK$28&gt;=9), VLOOKUP(AG163,$BK$29:$BN$39,3), 1=1, "Normal"))</f>
        <v/>
      </c>
      <c r="H160" t="str">
        <f t="shared" ca="1" si="44"/>
        <v/>
      </c>
      <c r="I160" t="str">
        <f t="shared" ca="1" si="45"/>
        <v/>
      </c>
      <c r="K160" t="str" cm="1">
        <f t="array" aca="1" ref="K160" ca="1">IF(L160="","",(_xlfn.IFS(L160&gt;=15000,VLOOKUP(AW163,$BE$5:$BH$15,4),L160&gt;=4000,VLOOKUP(AW163,$BE$5:$BH$15,3),L160&gt;=100,VLOOKUP(AW163,$BE$5:$BH$15,2))))</f>
        <v/>
      </c>
      <c r="L160" t="str">
        <f t="shared" ca="1" si="46"/>
        <v/>
      </c>
      <c r="AF160" s="1">
        <f t="shared" ca="1" si="50"/>
        <v>6</v>
      </c>
      <c r="AG160" s="1">
        <f t="shared" ca="1" si="50"/>
        <v>2</v>
      </c>
      <c r="AH160" s="1"/>
      <c r="AI160" s="1">
        <f t="shared" ca="1" si="48"/>
        <v>2</v>
      </c>
      <c r="AJ160" s="1">
        <f t="shared" ca="1" si="49"/>
        <v>0.25</v>
      </c>
      <c r="AO160" s="1">
        <f t="shared" ca="1" si="52"/>
        <v>53</v>
      </c>
      <c r="AP160" s="1">
        <f t="shared" ca="1" si="53"/>
        <v>-84</v>
      </c>
      <c r="AS160" s="1">
        <f t="shared" ca="1" si="54"/>
        <v>3</v>
      </c>
      <c r="AV160" s="1">
        <f t="shared" ca="1" si="55"/>
        <v>-141</v>
      </c>
      <c r="AW160" s="1">
        <f t="shared" ca="1" si="56"/>
        <v>2</v>
      </c>
      <c r="AX160">
        <v>86</v>
      </c>
      <c r="AY160" t="s">
        <v>44</v>
      </c>
      <c r="AZ160">
        <v>5000</v>
      </c>
    </row>
    <row r="161" spans="4:52" x14ac:dyDescent="0.3">
      <c r="D161" t="str">
        <f t="shared" ca="1" si="47"/>
        <v/>
      </c>
      <c r="E161" t="str" cm="1">
        <f t="array" aca="1" ref="E161" ca="1">_xlfn.IFS(D161="","",D161="Starstone", VLOOKUP($BK$4,$BK$6:$BM$11,3)*AI164*AJ164, D161 = "Tristal", VLOOKUP($BK$14,$BK$16:$BM$24,3)*AI164*AJ164, 1=1, VLOOKUP(AO164,$AX$75:$AZ$174,3)*AI164*AJ164)</f>
        <v/>
      </c>
      <c r="F161" t="str" cm="1">
        <f t="array" aca="1" ref="F161" ca="1">IF(D161="","",_xlfn.IFS(AH164&gt;5,"Normal",AND(AH164&lt;=5,$BK$28&lt;=4),VLOOKUP(AF164,$BK$29:$BN$39,2),AND(AH164&lt;=5,$BK$28&gt;=9),VLOOKUP(AF164,$BK$29:$BN$39,2), 1=1, "Normal"))</f>
        <v/>
      </c>
      <c r="G161" t="str" cm="1">
        <f t="array" aca="1" ref="G161" ca="1">IF(D161="","",_xlfn.IFS(AH164&gt;5, "Normal", AND(AH164&lt;=5, $BL$28&lt;=8, $BL$28&gt;=5), VLOOKUP(AG164,$BK$29:$BN$39,3), AND(AH164&lt;=5,$BK$28&gt;=9), VLOOKUP(AG164,$BK$29:$BN$39,3), 1=1, "Normal"))</f>
        <v/>
      </c>
      <c r="H161" t="str">
        <f t="shared" ca="1" si="44"/>
        <v/>
      </c>
      <c r="I161" t="str">
        <f t="shared" ca="1" si="45"/>
        <v/>
      </c>
      <c r="K161" t="str" cm="1">
        <f t="array" aca="1" ref="K161" ca="1">IF(L161="","",(_xlfn.IFS(L161&gt;=15000,VLOOKUP(AW164,$BE$5:$BH$15,4),L161&gt;=4000,VLOOKUP(AW164,$BE$5:$BH$15,3),L161&gt;=100,VLOOKUP(AW164,$BE$5:$BH$15,2))))</f>
        <v/>
      </c>
      <c r="L161" t="str">
        <f t="shared" ca="1" si="46"/>
        <v/>
      </c>
      <c r="AF161" s="1">
        <f t="shared" ca="1" si="50"/>
        <v>1</v>
      </c>
      <c r="AG161" s="1">
        <f t="shared" ca="1" si="50"/>
        <v>5</v>
      </c>
      <c r="AH161" s="1"/>
      <c r="AI161" s="1">
        <f t="shared" ca="1" si="48"/>
        <v>0.125</v>
      </c>
      <c r="AJ161" s="1">
        <f t="shared" ca="1" si="49"/>
        <v>0.5</v>
      </c>
      <c r="AO161" s="1">
        <f t="shared" ca="1" si="52"/>
        <v>16</v>
      </c>
      <c r="AP161" s="1">
        <f t="shared" ca="1" si="53"/>
        <v>-85</v>
      </c>
      <c r="AS161" s="1">
        <f t="shared" ca="1" si="54"/>
        <v>50</v>
      </c>
      <c r="AV161" s="1">
        <f t="shared" ca="1" si="55"/>
        <v>-142</v>
      </c>
      <c r="AW161" s="1">
        <f t="shared" ca="1" si="56"/>
        <v>8</v>
      </c>
      <c r="AX161">
        <v>87</v>
      </c>
      <c r="AY161" t="s">
        <v>42</v>
      </c>
      <c r="AZ161">
        <v>5000</v>
      </c>
    </row>
    <row r="162" spans="4:52" x14ac:dyDescent="0.3">
      <c r="D162" t="str">
        <f t="shared" ca="1" si="47"/>
        <v/>
      </c>
      <c r="E162" t="str" cm="1">
        <f t="array" aca="1" ref="E162" ca="1">_xlfn.IFS(D162="","",D162="Starstone", VLOOKUP($BK$4,$BK$6:$BM$11,3)*AI165*AJ165, D162 = "Tristal", VLOOKUP($BK$14,$BK$16:$BM$24,3)*AI165*AJ165, 1=1, VLOOKUP(AO165,$AX$75:$AZ$174,3)*AI165*AJ165)</f>
        <v/>
      </c>
      <c r="F162" t="str" cm="1">
        <f t="array" aca="1" ref="F162" ca="1">IF(D162="","",_xlfn.IFS(AH165&gt;5,"Normal",AND(AH165&lt;=5,$BK$28&lt;=4),VLOOKUP(AF165,$BK$29:$BN$39,2),AND(AH165&lt;=5,$BK$28&gt;=9),VLOOKUP(AF165,$BK$29:$BN$39,2), 1=1, "Normal"))</f>
        <v/>
      </c>
      <c r="G162" t="str" cm="1">
        <f t="array" aca="1" ref="G162" ca="1">IF(D162="","",_xlfn.IFS(AH165&gt;5, "Normal", AND(AH165&lt;=5, $BL$28&lt;=8, $BL$28&gt;=5), VLOOKUP(AG165,$BK$29:$BN$39,3), AND(AH165&lt;=5,$BK$28&gt;=9), VLOOKUP(AG165,$BK$29:$BN$39,3), 1=1, "Normal"))</f>
        <v/>
      </c>
      <c r="H162" t="str">
        <f t="shared" ca="1" si="44"/>
        <v/>
      </c>
      <c r="I162" t="str">
        <f t="shared" ca="1" si="45"/>
        <v/>
      </c>
      <c r="K162" t="str" cm="1">
        <f t="array" aca="1" ref="K162" ca="1">IF(L162="","",(_xlfn.IFS(L162&gt;=15000,VLOOKUP(AW165,$BE$5:$BH$15,4),L162&gt;=4000,VLOOKUP(AW165,$BE$5:$BH$15,3),L162&gt;=100,VLOOKUP(AW165,$BE$5:$BH$15,2))))</f>
        <v/>
      </c>
      <c r="L162" t="str">
        <f t="shared" ca="1" si="46"/>
        <v/>
      </c>
      <c r="AF162" s="1">
        <f t="shared" ca="1" si="50"/>
        <v>10</v>
      </c>
      <c r="AG162" s="1">
        <f t="shared" ca="1" si="50"/>
        <v>8</v>
      </c>
      <c r="AH162" s="1"/>
      <c r="AI162" s="1">
        <f t="shared" ca="1" si="48"/>
        <v>8</v>
      </c>
      <c r="AJ162" s="1">
        <f t="shared" ca="1" si="49"/>
        <v>4</v>
      </c>
      <c r="AO162" s="1">
        <f t="shared" ca="1" si="52"/>
        <v>47</v>
      </c>
      <c r="AP162" s="1">
        <f t="shared" ca="1" si="53"/>
        <v>-86</v>
      </c>
      <c r="AS162" s="1">
        <f t="shared" ca="1" si="54"/>
        <v>54</v>
      </c>
      <c r="AV162" s="1">
        <f t="shared" ca="1" si="55"/>
        <v>-143</v>
      </c>
      <c r="AW162" s="1">
        <f t="shared" ca="1" si="56"/>
        <v>10</v>
      </c>
      <c r="AX162">
        <v>88</v>
      </c>
      <c r="AY162" t="s">
        <v>43</v>
      </c>
      <c r="AZ162">
        <v>5000</v>
      </c>
    </row>
    <row r="163" spans="4:52" x14ac:dyDescent="0.3">
      <c r="D163" t="str">
        <f t="shared" ca="1" si="47"/>
        <v/>
      </c>
      <c r="E163" t="str" cm="1">
        <f t="array" aca="1" ref="E163" ca="1">_xlfn.IFS(D163="","",D163="Starstone", VLOOKUP($BK$4,$BK$6:$BM$11,3)*AI166*AJ166, D163 = "Tristal", VLOOKUP($BK$14,$BK$16:$BM$24,3)*AI166*AJ166, 1=1, VLOOKUP(AO166,$AX$75:$AZ$174,3)*AI166*AJ166)</f>
        <v/>
      </c>
      <c r="F163" t="str" cm="1">
        <f t="array" aca="1" ref="F163" ca="1">IF(D163="","",_xlfn.IFS(AH166&gt;5,"Normal",AND(AH166&lt;=5,$BK$28&lt;=4),VLOOKUP(AF166,$BK$29:$BN$39,2),AND(AH166&lt;=5,$BK$28&gt;=9),VLOOKUP(AF166,$BK$29:$BN$39,2), 1=1, "Normal"))</f>
        <v/>
      </c>
      <c r="G163" t="str" cm="1">
        <f t="array" aca="1" ref="G163" ca="1">IF(D163="","",_xlfn.IFS(AH166&gt;5, "Normal", AND(AH166&lt;=5, $BL$28&lt;=8, $BL$28&gt;=5), VLOOKUP(AG166,$BK$29:$BN$39,3), AND(AH166&lt;=5,$BK$28&gt;=9), VLOOKUP(AG166,$BK$29:$BN$39,3), 1=1, "Normal"))</f>
        <v/>
      </c>
      <c r="H163" t="str">
        <f t="shared" ca="1" si="44"/>
        <v/>
      </c>
      <c r="I163" t="str">
        <f t="shared" ca="1" si="45"/>
        <v/>
      </c>
      <c r="K163" t="str" cm="1">
        <f t="array" aca="1" ref="K163" ca="1">IF(L163="","",(_xlfn.IFS(L163&gt;=15000,VLOOKUP(AW166,$BE$5:$BH$15,4),L163&gt;=4000,VLOOKUP(AW166,$BE$5:$BH$15,3),L163&gt;=100,VLOOKUP(AW166,$BE$5:$BH$15,2))))</f>
        <v/>
      </c>
      <c r="L163" t="str">
        <f t="shared" ca="1" si="46"/>
        <v/>
      </c>
      <c r="AF163" s="1">
        <f t="shared" ca="1" si="50"/>
        <v>1</v>
      </c>
      <c r="AG163" s="1">
        <f t="shared" ca="1" si="50"/>
        <v>8</v>
      </c>
      <c r="AH163" s="1"/>
      <c r="AI163" s="1">
        <f t="shared" ca="1" si="48"/>
        <v>0.125</v>
      </c>
      <c r="AJ163" s="1">
        <f t="shared" ca="1" si="49"/>
        <v>4</v>
      </c>
      <c r="AO163" s="1">
        <f t="shared" ca="1" si="52"/>
        <v>72</v>
      </c>
      <c r="AP163" s="1">
        <f t="shared" ca="1" si="53"/>
        <v>-87</v>
      </c>
      <c r="AS163" s="1">
        <f t="shared" ca="1" si="54"/>
        <v>8</v>
      </c>
      <c r="AV163" s="1">
        <f t="shared" ca="1" si="55"/>
        <v>-144</v>
      </c>
      <c r="AW163" s="1">
        <f t="shared" ca="1" si="56"/>
        <v>5</v>
      </c>
      <c r="AX163">
        <v>89</v>
      </c>
      <c r="AY163" t="s">
        <v>44</v>
      </c>
      <c r="AZ163">
        <v>5000</v>
      </c>
    </row>
    <row r="164" spans="4:52" x14ac:dyDescent="0.3">
      <c r="D164" t="str">
        <f t="shared" ca="1" si="47"/>
        <v/>
      </c>
      <c r="E164" t="str" cm="1">
        <f t="array" aca="1" ref="E164" ca="1">_xlfn.IFS(D164="","",D164="Starstone", VLOOKUP($BK$4,$BK$6:$BM$11,3)*AI167*AJ167, D164 = "Tristal", VLOOKUP($BK$14,$BK$16:$BM$24,3)*AI167*AJ167, 1=1, VLOOKUP(AO167,$AX$75:$AZ$174,3)*AI167*AJ167)</f>
        <v/>
      </c>
      <c r="F164" t="str" cm="1">
        <f t="array" aca="1" ref="F164" ca="1">IF(D164="","",_xlfn.IFS(AH167&gt;5,"Normal",AND(AH167&lt;=5,$BK$28&lt;=4),VLOOKUP(AF167,$BK$29:$BN$39,2),AND(AH167&lt;=5,$BK$28&gt;=9),VLOOKUP(AF167,$BK$29:$BN$39,2), 1=1, "Normal"))</f>
        <v/>
      </c>
      <c r="G164" t="str" cm="1">
        <f t="array" aca="1" ref="G164" ca="1">IF(D164="","",_xlfn.IFS(AH167&gt;5, "Normal", AND(AH167&lt;=5, $BL$28&lt;=8, $BL$28&gt;=5), VLOOKUP(AG167,$BK$29:$BN$39,3), AND(AH167&lt;=5,$BK$28&gt;=9), VLOOKUP(AG167,$BK$29:$BN$39,3), 1=1, "Normal"))</f>
        <v/>
      </c>
      <c r="H164" t="str">
        <f t="shared" ca="1" si="44"/>
        <v/>
      </c>
      <c r="I164" t="str">
        <f t="shared" ca="1" si="45"/>
        <v/>
      </c>
      <c r="K164" t="str" cm="1">
        <f t="array" aca="1" ref="K164" ca="1">IF(L164="","",(_xlfn.IFS(L164&gt;=15000,VLOOKUP(AW167,$BE$5:$BH$15,4),L164&gt;=4000,VLOOKUP(AW167,$BE$5:$BH$15,3),L164&gt;=100,VLOOKUP(AW167,$BE$5:$BH$15,2))))</f>
        <v/>
      </c>
      <c r="L164" t="str">
        <f t="shared" ca="1" si="46"/>
        <v/>
      </c>
      <c r="AF164" s="1">
        <f t="shared" ca="1" si="50"/>
        <v>5</v>
      </c>
      <c r="AG164" s="1">
        <f t="shared" ca="1" si="50"/>
        <v>9</v>
      </c>
      <c r="AH164" s="1"/>
      <c r="AI164" s="1">
        <f t="shared" ca="1" si="48"/>
        <v>0.5</v>
      </c>
      <c r="AJ164" s="1">
        <f t="shared" ca="1" si="49"/>
        <v>4</v>
      </c>
      <c r="AO164" s="1">
        <f t="shared" ca="1" si="52"/>
        <v>28</v>
      </c>
      <c r="AP164" s="1">
        <f t="shared" ca="1" si="53"/>
        <v>-88</v>
      </c>
      <c r="AS164" s="1">
        <f t="shared" ca="1" si="54"/>
        <v>35</v>
      </c>
      <c r="AV164" s="1">
        <f t="shared" ca="1" si="55"/>
        <v>-145</v>
      </c>
      <c r="AW164" s="1">
        <f t="shared" ca="1" si="56"/>
        <v>1</v>
      </c>
      <c r="AX164">
        <v>90</v>
      </c>
      <c r="AY164" t="s">
        <v>42</v>
      </c>
      <c r="AZ164">
        <v>5000</v>
      </c>
    </row>
    <row r="165" spans="4:52" x14ac:dyDescent="0.3">
      <c r="D165" t="str">
        <f t="shared" ca="1" si="47"/>
        <v/>
      </c>
      <c r="E165" t="str" cm="1">
        <f t="array" aca="1" ref="E165" ca="1">_xlfn.IFS(D165="","",D165="Starstone", VLOOKUP($BK$4,$BK$6:$BM$11,3)*AI168*AJ168, D165 = "Tristal", VLOOKUP($BK$14,$BK$16:$BM$24,3)*AI168*AJ168, 1=1, VLOOKUP(AO168,$AX$75:$AZ$174,3)*AI168*AJ168)</f>
        <v/>
      </c>
      <c r="F165" t="str" cm="1">
        <f t="array" aca="1" ref="F165" ca="1">IF(D165="","",_xlfn.IFS(AH168&gt;5,"Normal",AND(AH168&lt;=5,$BK$28&lt;=4),VLOOKUP(AF168,$BK$29:$BN$39,2),AND(AH168&lt;=5,$BK$28&gt;=9),VLOOKUP(AF168,$BK$29:$BN$39,2), 1=1, "Normal"))</f>
        <v/>
      </c>
      <c r="G165" t="str" cm="1">
        <f t="array" aca="1" ref="G165" ca="1">IF(D165="","",_xlfn.IFS(AH168&gt;5, "Normal", AND(AH168&lt;=5, $BL$28&lt;=8, $BL$28&gt;=5), VLOOKUP(AG168,$BK$29:$BN$39,3), AND(AH168&lt;=5,$BK$28&gt;=9), VLOOKUP(AG168,$BK$29:$BN$39,3), 1=1, "Normal"))</f>
        <v/>
      </c>
      <c r="H165" t="str">
        <f t="shared" ca="1" si="44"/>
        <v/>
      </c>
      <c r="I165" t="str">
        <f t="shared" ca="1" si="45"/>
        <v/>
      </c>
      <c r="K165" t="str" cm="1">
        <f t="array" aca="1" ref="K165" ca="1">IF(L165="","",(_xlfn.IFS(L165&gt;=15000,VLOOKUP(AW168,$BE$5:$BH$15,4),L165&gt;=4000,VLOOKUP(AW168,$BE$5:$BH$15,3),L165&gt;=100,VLOOKUP(AW168,$BE$5:$BH$15,2))))</f>
        <v/>
      </c>
      <c r="L165" t="str">
        <f t="shared" ca="1" si="46"/>
        <v/>
      </c>
      <c r="AF165" s="1">
        <f t="shared" ca="1" si="50"/>
        <v>5</v>
      </c>
      <c r="AG165" s="1">
        <f t="shared" ca="1" si="50"/>
        <v>9</v>
      </c>
      <c r="AH165" s="1"/>
      <c r="AI165" s="1">
        <f t="shared" ca="1" si="48"/>
        <v>0.5</v>
      </c>
      <c r="AJ165" s="1">
        <f t="shared" ca="1" si="49"/>
        <v>4</v>
      </c>
      <c r="AO165" s="1">
        <f t="shared" ca="1" si="52"/>
        <v>31</v>
      </c>
      <c r="AP165" s="1">
        <f t="shared" ca="1" si="53"/>
        <v>-89</v>
      </c>
      <c r="AS165" s="1">
        <f t="shared" ca="1" si="54"/>
        <v>27</v>
      </c>
      <c r="AV165" s="1">
        <f t="shared" ca="1" si="55"/>
        <v>-146</v>
      </c>
      <c r="AW165" s="1">
        <f t="shared" ca="1" si="56"/>
        <v>10</v>
      </c>
      <c r="AX165">
        <v>91</v>
      </c>
      <c r="AY165" t="s">
        <v>45</v>
      </c>
      <c r="AZ165">
        <v>10000</v>
      </c>
    </row>
    <row r="166" spans="4:52" x14ac:dyDescent="0.3">
      <c r="D166" t="str">
        <f t="shared" ca="1" si="47"/>
        <v/>
      </c>
      <c r="E166" t="str" cm="1">
        <f t="array" aca="1" ref="E166" ca="1">_xlfn.IFS(D166="","",D166="Starstone", VLOOKUP($BK$4,$BK$6:$BM$11,3)*AI169*AJ169, D166 = "Tristal", VLOOKUP($BK$14,$BK$16:$BM$24,3)*AI169*AJ169, 1=1, VLOOKUP(AO169,$AX$75:$AZ$174,3)*AI169*AJ169)</f>
        <v/>
      </c>
      <c r="F166" t="str" cm="1">
        <f t="array" aca="1" ref="F166" ca="1">IF(D166="","",_xlfn.IFS(AH169&gt;5,"Normal",AND(AH169&lt;=5,$BK$28&lt;=4),VLOOKUP(AF169,$BK$29:$BN$39,2),AND(AH169&lt;=5,$BK$28&gt;=9),VLOOKUP(AF169,$BK$29:$BN$39,2), 1=1, "Normal"))</f>
        <v/>
      </c>
      <c r="G166" t="str" cm="1">
        <f t="array" aca="1" ref="G166" ca="1">IF(D166="","",_xlfn.IFS(AH169&gt;5, "Normal", AND(AH169&lt;=5, $BL$28&lt;=8, $BL$28&gt;=5), VLOOKUP(AG169,$BK$29:$BN$39,3), AND(AH169&lt;=5,$BK$28&gt;=9), VLOOKUP(AG169,$BK$29:$BN$39,3), 1=1, "Normal"))</f>
        <v/>
      </c>
      <c r="H166" t="str">
        <f t="shared" ca="1" si="44"/>
        <v/>
      </c>
      <c r="I166" t="str">
        <f t="shared" ca="1" si="45"/>
        <v/>
      </c>
      <c r="K166" t="str" cm="1">
        <f t="array" aca="1" ref="K166" ca="1">IF(L166="","",(_xlfn.IFS(L166&gt;=15000,VLOOKUP(AW169,$BE$5:$BH$15,4),L166&gt;=4000,VLOOKUP(AW169,$BE$5:$BH$15,3),L166&gt;=100,VLOOKUP(AW169,$BE$5:$BH$15,2))))</f>
        <v/>
      </c>
      <c r="L166" t="str">
        <f t="shared" ca="1" si="46"/>
        <v/>
      </c>
      <c r="AF166" s="1">
        <f t="shared" ca="1" si="50"/>
        <v>3</v>
      </c>
      <c r="AG166" s="1">
        <f t="shared" ca="1" si="50"/>
        <v>3</v>
      </c>
      <c r="AH166" s="1"/>
      <c r="AI166" s="1">
        <f t="shared" ca="1" si="48"/>
        <v>0.25</v>
      </c>
      <c r="AJ166" s="1">
        <f t="shared" ca="1" si="49"/>
        <v>0.25</v>
      </c>
      <c r="AO166" s="1">
        <f t="shared" ca="1" si="52"/>
        <v>73</v>
      </c>
      <c r="AP166" s="1">
        <f t="shared" ca="1" si="53"/>
        <v>-90</v>
      </c>
      <c r="AS166" s="1">
        <f t="shared" ca="1" si="54"/>
        <v>15</v>
      </c>
      <c r="AV166" s="1">
        <f t="shared" ca="1" si="55"/>
        <v>-147</v>
      </c>
      <c r="AW166" s="1">
        <f t="shared" ca="1" si="56"/>
        <v>8</v>
      </c>
      <c r="AX166">
        <v>92</v>
      </c>
      <c r="AY166" t="s">
        <v>46</v>
      </c>
      <c r="AZ166">
        <v>10000</v>
      </c>
    </row>
    <row r="167" spans="4:52" x14ac:dyDescent="0.3">
      <c r="D167" t="str">
        <f t="shared" ca="1" si="47"/>
        <v/>
      </c>
      <c r="E167" t="str" cm="1">
        <f t="array" aca="1" ref="E167" ca="1">_xlfn.IFS(D167="","",D167="Starstone", VLOOKUP($BK$4,$BK$6:$BM$11,3)*AI170*AJ170, D167 = "Tristal", VLOOKUP($BK$14,$BK$16:$BM$24,3)*AI170*AJ170, 1=1, VLOOKUP(AO170,$AX$75:$AZ$174,3)*AI170*AJ170)</f>
        <v/>
      </c>
      <c r="F167" t="str" cm="1">
        <f t="array" aca="1" ref="F167" ca="1">IF(D167="","",_xlfn.IFS(AH170&gt;5,"Normal",AND(AH170&lt;=5,$BK$28&lt;=4),VLOOKUP(AF170,$BK$29:$BN$39,2),AND(AH170&lt;=5,$BK$28&gt;=9),VLOOKUP(AF170,$BK$29:$BN$39,2), 1=1, "Normal"))</f>
        <v/>
      </c>
      <c r="G167" t="str" cm="1">
        <f t="array" aca="1" ref="G167" ca="1">IF(D167="","",_xlfn.IFS(AH170&gt;5, "Normal", AND(AH170&lt;=5, $BL$28&lt;=8, $BL$28&gt;=5), VLOOKUP(AG170,$BK$29:$BN$39,3), AND(AH170&lt;=5,$BK$28&gt;=9), VLOOKUP(AG170,$BK$29:$BN$39,3), 1=1, "Normal"))</f>
        <v/>
      </c>
      <c r="H167" t="str">
        <f t="shared" ca="1" si="44"/>
        <v/>
      </c>
      <c r="I167" t="str">
        <f t="shared" ca="1" si="45"/>
        <v/>
      </c>
      <c r="K167" t="str" cm="1">
        <f t="array" aca="1" ref="K167" ca="1">IF(L167="","",(_xlfn.IFS(L167&gt;=15000,VLOOKUP(AW170,$BE$5:$BH$15,4),L167&gt;=4000,VLOOKUP(AW170,$BE$5:$BH$15,3),L167&gt;=100,VLOOKUP(AW170,$BE$5:$BH$15,2))))</f>
        <v/>
      </c>
      <c r="L167" t="str">
        <f t="shared" ca="1" si="46"/>
        <v/>
      </c>
      <c r="AF167" s="1">
        <f t="shared" ca="1" si="50"/>
        <v>8</v>
      </c>
      <c r="AG167" s="1">
        <f t="shared" ca="1" si="50"/>
        <v>10</v>
      </c>
      <c r="AH167" s="1"/>
      <c r="AI167" s="1">
        <f t="shared" ca="1" si="48"/>
        <v>4</v>
      </c>
      <c r="AJ167" s="1">
        <f t="shared" ca="1" si="49"/>
        <v>8</v>
      </c>
      <c r="AO167" s="1">
        <f t="shared" ca="1" si="52"/>
        <v>27</v>
      </c>
      <c r="AP167" s="1">
        <f t="shared" ca="1" si="53"/>
        <v>-91</v>
      </c>
      <c r="AS167" s="1">
        <f t="shared" ca="1" si="54"/>
        <v>23</v>
      </c>
      <c r="AV167" s="1">
        <f t="shared" ca="1" si="55"/>
        <v>-148</v>
      </c>
      <c r="AW167" s="1">
        <f t="shared" ca="1" si="56"/>
        <v>8</v>
      </c>
      <c r="AX167">
        <v>93</v>
      </c>
      <c r="AY167" t="s">
        <v>45</v>
      </c>
      <c r="AZ167">
        <v>10000</v>
      </c>
    </row>
    <row r="168" spans="4:52" x14ac:dyDescent="0.3">
      <c r="D168" t="str">
        <f t="shared" ca="1" si="47"/>
        <v/>
      </c>
      <c r="E168" t="str" cm="1">
        <f t="array" aca="1" ref="E168" ca="1">_xlfn.IFS(D168="","",D168="Starstone", VLOOKUP($BK$4,$BK$6:$BM$11,3)*AI171*AJ171, D168 = "Tristal", VLOOKUP($BK$14,$BK$16:$BM$24,3)*AI171*AJ171, 1=1, VLOOKUP(AO171,$AX$75:$AZ$174,3)*AI171*AJ171)</f>
        <v/>
      </c>
      <c r="F168" t="str" cm="1">
        <f t="array" aca="1" ref="F168" ca="1">IF(D168="","",_xlfn.IFS(AH171&gt;5,"Normal",AND(AH171&lt;=5,$BK$28&lt;=4),VLOOKUP(AF171,$BK$29:$BN$39,2),AND(AH171&lt;=5,$BK$28&gt;=9),VLOOKUP(AF171,$BK$29:$BN$39,2), 1=1, "Normal"))</f>
        <v/>
      </c>
      <c r="G168" t="str" cm="1">
        <f t="array" aca="1" ref="G168" ca="1">IF(D168="","",_xlfn.IFS(AH171&gt;5, "Normal", AND(AH171&lt;=5, $BL$28&lt;=8, $BL$28&gt;=5), VLOOKUP(AG171,$BK$29:$BN$39,3), AND(AH171&lt;=5,$BK$28&gt;=9), VLOOKUP(AG171,$BK$29:$BN$39,3), 1=1, "Normal"))</f>
        <v/>
      </c>
      <c r="H168" t="str">
        <f t="shared" ca="1" si="44"/>
        <v/>
      </c>
      <c r="I168" t="str">
        <f t="shared" ca="1" si="45"/>
        <v/>
      </c>
      <c r="K168" t="str" cm="1">
        <f t="array" aca="1" ref="K168" ca="1">IF(L168="","",(_xlfn.IFS(L168&gt;=15000,VLOOKUP(AW171,$BE$5:$BH$15,4),L168&gt;=4000,VLOOKUP(AW171,$BE$5:$BH$15,3),L168&gt;=100,VLOOKUP(AW171,$BE$5:$BH$15,2))))</f>
        <v/>
      </c>
      <c r="L168" t="str">
        <f t="shared" ca="1" si="46"/>
        <v/>
      </c>
      <c r="AF168" s="1">
        <f t="shared" ca="1" si="50"/>
        <v>5</v>
      </c>
      <c r="AG168" s="1">
        <f t="shared" ca="1" si="50"/>
        <v>7</v>
      </c>
      <c r="AH168" s="1"/>
      <c r="AI168" s="1">
        <f t="shared" ca="1" si="48"/>
        <v>0.5</v>
      </c>
      <c r="AJ168" s="1">
        <f t="shared" ca="1" si="49"/>
        <v>2</v>
      </c>
      <c r="AO168" s="1">
        <f t="shared" ca="1" si="52"/>
        <v>88</v>
      </c>
      <c r="AP168" s="1">
        <f t="shared" ca="1" si="53"/>
        <v>-92</v>
      </c>
      <c r="AS168" s="1">
        <f t="shared" ca="1" si="54"/>
        <v>91</v>
      </c>
      <c r="AV168" s="1">
        <f t="shared" ca="1" si="55"/>
        <v>-149</v>
      </c>
      <c r="AW168" s="1">
        <f t="shared" ca="1" si="56"/>
        <v>3</v>
      </c>
      <c r="AX168">
        <v>94</v>
      </c>
      <c r="AY168" t="s">
        <v>46</v>
      </c>
      <c r="AZ168">
        <v>10000</v>
      </c>
    </row>
    <row r="169" spans="4:52" x14ac:dyDescent="0.3">
      <c r="D169" t="str">
        <f t="shared" ca="1" si="47"/>
        <v/>
      </c>
      <c r="E169" t="str" cm="1">
        <f t="array" aca="1" ref="E169" ca="1">_xlfn.IFS(D169="","",D169="Starstone", VLOOKUP($BK$4,$BK$6:$BM$11,3)*AI172*AJ172, D169 = "Tristal", VLOOKUP($BK$14,$BK$16:$BM$24,3)*AI172*AJ172, 1=1, VLOOKUP(AO172,$AX$75:$AZ$174,3)*AI172*AJ172)</f>
        <v/>
      </c>
      <c r="F169" t="str" cm="1">
        <f t="array" aca="1" ref="F169" ca="1">IF(D169="","",_xlfn.IFS(AH172&gt;5,"Normal",AND(AH172&lt;=5,$BK$28&lt;=4),VLOOKUP(AF172,$BK$29:$BN$39,2),AND(AH172&lt;=5,$BK$28&gt;=9),VLOOKUP(AF172,$BK$29:$BN$39,2), 1=1, "Normal"))</f>
        <v/>
      </c>
      <c r="G169" t="str" cm="1">
        <f t="array" aca="1" ref="G169" ca="1">IF(D169="","",_xlfn.IFS(AH172&gt;5, "Normal", AND(AH172&lt;=5, $BL$28&lt;=8, $BL$28&gt;=5), VLOOKUP(AG172,$BK$29:$BN$39,3), AND(AH172&lt;=5,$BK$28&gt;=9), VLOOKUP(AG172,$BK$29:$BN$39,3), 1=1, "Normal"))</f>
        <v/>
      </c>
      <c r="H169" t="str">
        <f t="shared" ca="1" si="44"/>
        <v/>
      </c>
      <c r="I169" t="str">
        <f t="shared" ca="1" si="45"/>
        <v/>
      </c>
      <c r="K169" t="str" cm="1">
        <f t="array" aca="1" ref="K169" ca="1">IF(L169="","",(_xlfn.IFS(L169&gt;=15000,VLOOKUP(AW172,$BE$5:$BH$15,4),L169&gt;=4000,VLOOKUP(AW172,$BE$5:$BH$15,3),L169&gt;=100,VLOOKUP(AW172,$BE$5:$BH$15,2))))</f>
        <v/>
      </c>
      <c r="L169" t="str">
        <f t="shared" ca="1" si="46"/>
        <v/>
      </c>
      <c r="AF169" s="1">
        <f t="shared" ca="1" si="50"/>
        <v>7</v>
      </c>
      <c r="AG169" s="1">
        <f t="shared" ca="1" si="50"/>
        <v>10</v>
      </c>
      <c r="AH169" s="1"/>
      <c r="AI169" s="1">
        <f t="shared" ca="1" si="48"/>
        <v>2</v>
      </c>
      <c r="AJ169" s="1">
        <f t="shared" ca="1" si="49"/>
        <v>8</v>
      </c>
      <c r="AO169" s="1">
        <f t="shared" ca="1" si="52"/>
        <v>42</v>
      </c>
      <c r="AP169" s="1">
        <f t="shared" ca="1" si="53"/>
        <v>-93</v>
      </c>
      <c r="AS169" s="1">
        <f t="shared" ca="1" si="54"/>
        <v>8</v>
      </c>
      <c r="AV169" s="1">
        <f t="shared" ca="1" si="55"/>
        <v>-150</v>
      </c>
      <c r="AW169" s="1">
        <f t="shared" ca="1" si="56"/>
        <v>2</v>
      </c>
      <c r="AX169">
        <v>95</v>
      </c>
      <c r="AY169" t="s">
        <v>45</v>
      </c>
      <c r="AZ169">
        <v>10000</v>
      </c>
    </row>
    <row r="170" spans="4:52" x14ac:dyDescent="0.3">
      <c r="D170" t="str">
        <f t="shared" ca="1" si="47"/>
        <v/>
      </c>
      <c r="E170" t="str" cm="1">
        <f t="array" aca="1" ref="E170" ca="1">_xlfn.IFS(D170="","",D170="Starstone", VLOOKUP($BK$4,$BK$6:$BM$11,3)*AI173*AJ173, D170 = "Tristal", VLOOKUP($BK$14,$BK$16:$BM$24,3)*AI173*AJ173, 1=1, VLOOKUP(AO173,$AX$75:$AZ$174,3)*AI173*AJ173)</f>
        <v/>
      </c>
      <c r="F170" t="str" cm="1">
        <f t="array" aca="1" ref="F170" ca="1">IF(D170="","",_xlfn.IFS(AH173&gt;5,"Normal",AND(AH173&lt;=5,$BK$28&lt;=4),VLOOKUP(AF173,$BK$29:$BN$39,2),AND(AH173&lt;=5,$BK$28&gt;=9),VLOOKUP(AF173,$BK$29:$BN$39,2), 1=1, "Normal"))</f>
        <v/>
      </c>
      <c r="G170" t="str" cm="1">
        <f t="array" aca="1" ref="G170" ca="1">IF(D170="","",_xlfn.IFS(AH173&gt;5, "Normal", AND(AH173&lt;=5, $BL$28&lt;=8, $BL$28&gt;=5), VLOOKUP(AG173,$BK$29:$BN$39,3), AND(AH173&lt;=5,$BK$28&gt;=9), VLOOKUP(AG173,$BK$29:$BN$39,3), 1=1, "Normal"))</f>
        <v/>
      </c>
      <c r="H170" t="str">
        <f t="shared" ca="1" si="44"/>
        <v/>
      </c>
      <c r="I170" t="str">
        <f t="shared" ca="1" si="45"/>
        <v/>
      </c>
      <c r="K170" t="str" cm="1">
        <f t="array" aca="1" ref="K170" ca="1">IF(L170="","",(_xlfn.IFS(L170&gt;=15000,VLOOKUP(AW173,$BE$5:$BH$15,4),L170&gt;=4000,VLOOKUP(AW173,$BE$5:$BH$15,3),L170&gt;=100,VLOOKUP(AW173,$BE$5:$BH$15,2))))</f>
        <v/>
      </c>
      <c r="L170" t="str">
        <f t="shared" ca="1" si="46"/>
        <v/>
      </c>
      <c r="AF170" s="1">
        <f t="shared" ca="1" si="50"/>
        <v>1</v>
      </c>
      <c r="AG170" s="1">
        <f t="shared" ca="1" si="50"/>
        <v>2</v>
      </c>
      <c r="AH170" s="1"/>
      <c r="AI170" s="1">
        <f t="shared" ca="1" si="48"/>
        <v>0.125</v>
      </c>
      <c r="AJ170" s="1">
        <f t="shared" ca="1" si="49"/>
        <v>0.25</v>
      </c>
      <c r="AO170" s="1">
        <f t="shared" ca="1" si="52"/>
        <v>8</v>
      </c>
      <c r="AP170" s="1">
        <f t="shared" ca="1" si="53"/>
        <v>-94</v>
      </c>
      <c r="AS170" s="1">
        <f t="shared" ca="1" si="54"/>
        <v>57</v>
      </c>
      <c r="AV170" s="1">
        <f t="shared" ca="1" si="55"/>
        <v>-151</v>
      </c>
      <c r="AW170" s="1">
        <f t="shared" ca="1" si="56"/>
        <v>5</v>
      </c>
      <c r="AX170">
        <v>96</v>
      </c>
      <c r="AY170" t="s">
        <v>46</v>
      </c>
      <c r="AZ170">
        <v>10000</v>
      </c>
    </row>
    <row r="171" spans="4:52" x14ac:dyDescent="0.3">
      <c r="D171" t="str">
        <f t="shared" ca="1" si="47"/>
        <v/>
      </c>
      <c r="E171" t="str" cm="1">
        <f t="array" aca="1" ref="E171" ca="1">_xlfn.IFS(D171="","",D171="Starstone", VLOOKUP($BK$4,$BK$6:$BM$11,3)*AI174*AJ174, D171 = "Tristal", VLOOKUP($BK$14,$BK$16:$BM$24,3)*AI174*AJ174, 1=1, VLOOKUP(AO174,$AX$75:$AZ$174,3)*AI174*AJ174)</f>
        <v/>
      </c>
      <c r="F171" t="str" cm="1">
        <f t="array" aca="1" ref="F171" ca="1">IF(D171="","",_xlfn.IFS(AH174&gt;5,"Normal",AND(AH174&lt;=5,$BK$28&lt;=4),VLOOKUP(AF174,$BK$29:$BN$39,2),AND(AH174&lt;=5,$BK$28&gt;=9),VLOOKUP(AF174,$BK$29:$BN$39,2), 1=1, "Normal"))</f>
        <v/>
      </c>
      <c r="G171" t="str" cm="1">
        <f t="array" aca="1" ref="G171" ca="1">IF(D171="","",_xlfn.IFS(AH174&gt;5, "Normal", AND(AH174&lt;=5, $BL$28&lt;=8, $BL$28&gt;=5), VLOOKUP(AG174,$BK$29:$BN$39,3), AND(AH174&lt;=5,$BK$28&gt;=9), VLOOKUP(AG174,$BK$29:$BN$39,3), 1=1, "Normal"))</f>
        <v/>
      </c>
      <c r="H171" t="str">
        <f t="shared" ca="1" si="44"/>
        <v/>
      </c>
      <c r="I171" t="str">
        <f t="shared" ca="1" si="45"/>
        <v/>
      </c>
      <c r="K171" t="str" cm="1">
        <f t="array" aca="1" ref="K171" ca="1">IF(L171="","",(_xlfn.IFS(L171&gt;=15000,VLOOKUP(AW174,$BE$5:$BH$15,4),L171&gt;=4000,VLOOKUP(AW174,$BE$5:$BH$15,3),L171&gt;=100,VLOOKUP(AW174,$BE$5:$BH$15,2))))</f>
        <v/>
      </c>
      <c r="L171" t="str">
        <f t="shared" ca="1" si="46"/>
        <v/>
      </c>
      <c r="AF171" s="1">
        <f t="shared" ca="1" si="50"/>
        <v>4</v>
      </c>
      <c r="AG171" s="1">
        <f t="shared" ca="1" si="50"/>
        <v>2</v>
      </c>
      <c r="AH171" s="1"/>
      <c r="AI171" s="1">
        <f t="shared" ca="1" si="48"/>
        <v>0.5</v>
      </c>
      <c r="AJ171" s="1">
        <f t="shared" ca="1" si="49"/>
        <v>0.25</v>
      </c>
      <c r="AO171" s="1">
        <f t="shared" ca="1" si="52"/>
        <v>99</v>
      </c>
      <c r="AP171" s="1">
        <f t="shared" ca="1" si="53"/>
        <v>-95</v>
      </c>
      <c r="AS171" s="1">
        <f t="shared" ca="1" si="54"/>
        <v>52</v>
      </c>
      <c r="AV171" s="1">
        <f t="shared" ca="1" si="55"/>
        <v>-152</v>
      </c>
      <c r="AW171" s="1">
        <f t="shared" ca="1" si="56"/>
        <v>5</v>
      </c>
      <c r="AX171">
        <v>97</v>
      </c>
      <c r="AY171" t="s">
        <v>45</v>
      </c>
      <c r="AZ171">
        <v>10000</v>
      </c>
    </row>
    <row r="172" spans="4:52" x14ac:dyDescent="0.3">
      <c r="D172" t="str">
        <f t="shared" ca="1" si="47"/>
        <v/>
      </c>
      <c r="E172" t="str" cm="1">
        <f t="array" aca="1" ref="E172" ca="1">_xlfn.IFS(D172="","",D172="Starstone", VLOOKUP($BK$4,$BK$6:$BM$11,3)*AI175*AJ175, D172 = "Tristal", VLOOKUP($BK$14,$BK$16:$BM$24,3)*AI175*AJ175, 1=1, VLOOKUP(AO175,$AX$75:$AZ$174,3)*AI175*AJ175)</f>
        <v/>
      </c>
      <c r="F172" t="str" cm="1">
        <f t="array" aca="1" ref="F172" ca="1">IF(D172="","",_xlfn.IFS(AH175&gt;5,"Normal",AND(AH175&lt;=5,$BK$28&lt;=4),VLOOKUP(AF175,$BK$29:$BN$39,2),AND(AH175&lt;=5,$BK$28&gt;=9),VLOOKUP(AF175,$BK$29:$BN$39,2), 1=1, "Normal"))</f>
        <v/>
      </c>
      <c r="G172" t="str" cm="1">
        <f t="array" aca="1" ref="G172" ca="1">IF(D172="","",_xlfn.IFS(AH175&gt;5, "Normal", AND(AH175&lt;=5, $BL$28&lt;=8, $BL$28&gt;=5), VLOOKUP(AG175,$BK$29:$BN$39,3), AND(AH175&lt;=5,$BK$28&gt;=9), VLOOKUP(AG175,$BK$29:$BN$39,3), 1=1, "Normal"))</f>
        <v/>
      </c>
      <c r="H172" t="str">
        <f t="shared" ca="1" si="44"/>
        <v/>
      </c>
      <c r="I172" t="str">
        <f t="shared" ca="1" si="45"/>
        <v/>
      </c>
      <c r="K172" t="str" cm="1">
        <f t="array" aca="1" ref="K172" ca="1">IF(L172="","",(_xlfn.IFS(L172&gt;=15000,VLOOKUP(AW175,$BE$5:$BH$15,4),L172&gt;=4000,VLOOKUP(AW175,$BE$5:$BH$15,3),L172&gt;=100,VLOOKUP(AW175,$BE$5:$BH$15,2))))</f>
        <v/>
      </c>
      <c r="L172" t="str">
        <f t="shared" ca="1" si="46"/>
        <v/>
      </c>
      <c r="AF172" s="1">
        <f t="shared" ca="1" si="50"/>
        <v>5</v>
      </c>
      <c r="AG172" s="1">
        <f t="shared" ca="1" si="50"/>
        <v>10</v>
      </c>
      <c r="AH172" s="1"/>
      <c r="AI172" s="1">
        <f t="shared" ca="1" si="48"/>
        <v>0.5</v>
      </c>
      <c r="AJ172" s="1">
        <f t="shared" ca="1" si="49"/>
        <v>8</v>
      </c>
      <c r="AO172" s="1">
        <f t="shared" ca="1" si="52"/>
        <v>78</v>
      </c>
      <c r="AP172" s="1">
        <f t="shared" ca="1" si="53"/>
        <v>-96</v>
      </c>
      <c r="AS172" s="1">
        <f t="shared" ca="1" si="54"/>
        <v>69</v>
      </c>
      <c r="AV172" s="1">
        <f t="shared" ca="1" si="55"/>
        <v>-153</v>
      </c>
      <c r="AW172" s="1">
        <f t="shared" ca="1" si="56"/>
        <v>1</v>
      </c>
      <c r="AX172">
        <v>98</v>
      </c>
      <c r="AY172" t="s">
        <v>47</v>
      </c>
      <c r="AZ172" t="s">
        <v>49</v>
      </c>
    </row>
    <row r="173" spans="4:52" x14ac:dyDescent="0.3">
      <c r="D173" t="str">
        <f t="shared" ca="1" si="47"/>
        <v/>
      </c>
      <c r="E173" t="str" cm="1">
        <f t="array" aca="1" ref="E173" ca="1">_xlfn.IFS(D173="","",D173="Starstone", VLOOKUP($BK$4,$BK$6:$BM$11,3)*AI176*AJ176, D173 = "Tristal", VLOOKUP($BK$14,$BK$16:$BM$24,3)*AI176*AJ176, 1=1, VLOOKUP(AO176,$AX$75:$AZ$174,3)*AI176*AJ176)</f>
        <v/>
      </c>
      <c r="F173" t="str" cm="1">
        <f t="array" aca="1" ref="F173" ca="1">IF(D173="","",_xlfn.IFS(AH176&gt;5,"Normal",AND(AH176&lt;=5,$BK$28&lt;=4),VLOOKUP(AF176,$BK$29:$BN$39,2),AND(AH176&lt;=5,$BK$28&gt;=9),VLOOKUP(AF176,$BK$29:$BN$39,2), 1=1, "Normal"))</f>
        <v/>
      </c>
      <c r="G173" t="str" cm="1">
        <f t="array" aca="1" ref="G173" ca="1">IF(D173="","",_xlfn.IFS(AH176&gt;5, "Normal", AND(AH176&lt;=5, $BL$28&lt;=8, $BL$28&gt;=5), VLOOKUP(AG176,$BK$29:$BN$39,3), AND(AH176&lt;=5,$BK$28&gt;=9), VLOOKUP(AG176,$BK$29:$BN$39,3), 1=1, "Normal"))</f>
        <v/>
      </c>
      <c r="H173" t="str">
        <f t="shared" ca="1" si="44"/>
        <v/>
      </c>
      <c r="I173" t="str">
        <f t="shared" ca="1" si="45"/>
        <v/>
      </c>
      <c r="K173" t="str" cm="1">
        <f t="array" aca="1" ref="K173" ca="1">IF(L173="","",(_xlfn.IFS(L173&gt;=15000,VLOOKUP(AW176,$BE$5:$BH$15,4),L173&gt;=4000,VLOOKUP(AW176,$BE$5:$BH$15,3),L173&gt;=100,VLOOKUP(AW176,$BE$5:$BH$15,2))))</f>
        <v/>
      </c>
      <c r="L173" t="str">
        <f t="shared" ca="1" si="46"/>
        <v/>
      </c>
      <c r="AF173" s="1">
        <f t="shared" ca="1" si="50"/>
        <v>4</v>
      </c>
      <c r="AG173" s="1">
        <f t="shared" ca="1" si="50"/>
        <v>3</v>
      </c>
      <c r="AH173" s="1"/>
      <c r="AI173" s="1">
        <f t="shared" ca="1" si="48"/>
        <v>0.5</v>
      </c>
      <c r="AJ173" s="1">
        <f t="shared" ca="1" si="49"/>
        <v>0.25</v>
      </c>
      <c r="AO173" s="1">
        <f t="shared" ca="1" si="52"/>
        <v>99</v>
      </c>
      <c r="AP173" s="1">
        <f t="shared" ca="1" si="53"/>
        <v>-97</v>
      </c>
      <c r="AS173" s="1">
        <f t="shared" ca="1" si="54"/>
        <v>92</v>
      </c>
      <c r="AV173" s="1">
        <f t="shared" ca="1" si="55"/>
        <v>-154</v>
      </c>
      <c r="AW173" s="1">
        <f t="shared" ca="1" si="56"/>
        <v>1</v>
      </c>
      <c r="AX173">
        <v>99</v>
      </c>
      <c r="AY173" t="s">
        <v>47</v>
      </c>
      <c r="AZ173" t="s">
        <v>49</v>
      </c>
    </row>
    <row r="174" spans="4:52" x14ac:dyDescent="0.3">
      <c r="D174" t="str">
        <f t="shared" ca="1" si="47"/>
        <v/>
      </c>
      <c r="E174" t="str" cm="1">
        <f t="array" aca="1" ref="E174" ca="1">_xlfn.IFS(D174="","",D174="Starstone", VLOOKUP($BK$4,$BK$6:$BM$11,3)*AI177*AJ177, D174 = "Tristal", VLOOKUP($BK$14,$BK$16:$BM$24,3)*AI177*AJ177, 1=1, VLOOKUP(AO177,$AX$75:$AZ$174,3)*AI177*AJ177)</f>
        <v/>
      </c>
      <c r="F174" t="str" cm="1">
        <f t="array" aca="1" ref="F174" ca="1">IF(D174="","",_xlfn.IFS(AH177&gt;5,"Normal",AND(AH177&lt;=5,$BK$28&lt;=4),VLOOKUP(AF177,$BK$29:$BN$39,2),AND(AH177&lt;=5,$BK$28&gt;=9),VLOOKUP(AF177,$BK$29:$BN$39,2), 1=1, "Normal"))</f>
        <v/>
      </c>
      <c r="G174" t="str" cm="1">
        <f t="array" aca="1" ref="G174" ca="1">IF(D174="","",_xlfn.IFS(AH177&gt;5, "Normal", AND(AH177&lt;=5, $BL$28&lt;=8, $BL$28&gt;=5), VLOOKUP(AG177,$BK$29:$BN$39,3), AND(AH177&lt;=5,$BK$28&gt;=9), VLOOKUP(AG177,$BK$29:$BN$39,3), 1=1, "Normal"))</f>
        <v/>
      </c>
      <c r="H174" t="str">
        <f t="shared" ca="1" si="44"/>
        <v/>
      </c>
      <c r="I174" t="str">
        <f t="shared" ca="1" si="45"/>
        <v/>
      </c>
      <c r="K174" t="str" cm="1">
        <f t="array" aca="1" ref="K174" ca="1">IF(L174="","",(_xlfn.IFS(L174&gt;=15000,VLOOKUP(AW177,$BE$5:$BH$15,4),L174&gt;=4000,VLOOKUP(AW177,$BE$5:$BH$15,3),L174&gt;=100,VLOOKUP(AW177,$BE$5:$BH$15,2))))</f>
        <v/>
      </c>
      <c r="L174" t="str">
        <f t="shared" ca="1" si="46"/>
        <v/>
      </c>
      <c r="AF174" s="1">
        <f t="shared" ca="1" si="50"/>
        <v>1</v>
      </c>
      <c r="AG174" s="1">
        <f t="shared" ca="1" si="50"/>
        <v>10</v>
      </c>
      <c r="AH174" s="1"/>
      <c r="AI174" s="1">
        <f t="shared" ca="1" si="48"/>
        <v>0.125</v>
      </c>
      <c r="AJ174" s="1">
        <f t="shared" ca="1" si="49"/>
        <v>8</v>
      </c>
      <c r="AO174" s="1">
        <f t="shared" ca="1" si="52"/>
        <v>77</v>
      </c>
      <c r="AP174" s="1">
        <f t="shared" ca="1" si="53"/>
        <v>-98</v>
      </c>
      <c r="AS174" s="1">
        <f t="shared" ca="1" si="54"/>
        <v>61</v>
      </c>
      <c r="AV174" s="1">
        <f t="shared" ca="1" si="55"/>
        <v>-155</v>
      </c>
      <c r="AW174" s="1">
        <f t="shared" ca="1" si="56"/>
        <v>3</v>
      </c>
      <c r="AX174">
        <v>100</v>
      </c>
      <c r="AY174" t="s">
        <v>48</v>
      </c>
      <c r="AZ174" t="s">
        <v>49</v>
      </c>
    </row>
    <row r="175" spans="4:52" x14ac:dyDescent="0.3">
      <c r="D175" t="str">
        <f t="shared" ca="1" si="47"/>
        <v/>
      </c>
      <c r="E175" t="str" cm="1">
        <f t="array" aca="1" ref="E175" ca="1">_xlfn.IFS(D175="","",D175="Starstone", VLOOKUP($BK$4,$BK$6:$BM$11,3)*AI178*AJ178, D175 = "Tristal", VLOOKUP($BK$14,$BK$16:$BM$24,3)*AI178*AJ178, 1=1, VLOOKUP(AO178,$AX$75:$AZ$174,3)*AI178*AJ178)</f>
        <v/>
      </c>
      <c r="F175" t="str" cm="1">
        <f t="array" aca="1" ref="F175" ca="1">IF(D175="","",_xlfn.IFS(AH178&gt;5,"Normal",AND(AH178&lt;=5,$BK$28&lt;=4),VLOOKUP(AF178,$BK$29:$BN$39,2),AND(AH178&lt;=5,$BK$28&gt;=9),VLOOKUP(AF178,$BK$29:$BN$39,2), 1=1, "Normal"))</f>
        <v/>
      </c>
      <c r="G175" t="str" cm="1">
        <f t="array" aca="1" ref="G175" ca="1">IF(D175="","",_xlfn.IFS(AH178&gt;5, "Normal", AND(AH178&lt;=5, $BL$28&lt;=8, $BL$28&gt;=5), VLOOKUP(AG178,$BK$29:$BN$39,3), AND(AH178&lt;=5,$BK$28&gt;=9), VLOOKUP(AG178,$BK$29:$BN$39,3), 1=1, "Normal"))</f>
        <v/>
      </c>
      <c r="H175" t="str">
        <f t="shared" ca="1" si="44"/>
        <v/>
      </c>
      <c r="I175" t="str">
        <f t="shared" ca="1" si="45"/>
        <v/>
      </c>
      <c r="K175" t="str" cm="1">
        <f t="array" aca="1" ref="K175" ca="1">IF(L175="","",(_xlfn.IFS(L175&gt;=15000,VLOOKUP(AW178,$BE$5:$BH$15,4),L175&gt;=4000,VLOOKUP(AW178,$BE$5:$BH$15,3),L175&gt;=100,VLOOKUP(AW178,$BE$5:$BH$15,2))))</f>
        <v/>
      </c>
      <c r="L175" t="str">
        <f t="shared" ca="1" si="46"/>
        <v/>
      </c>
      <c r="AF175" s="1">
        <f t="shared" ca="1" si="50"/>
        <v>1</v>
      </c>
      <c r="AG175" s="1">
        <f t="shared" ca="1" si="50"/>
        <v>8</v>
      </c>
      <c r="AH175" s="1"/>
      <c r="AI175" s="1">
        <f t="shared" ca="1" si="48"/>
        <v>0.125</v>
      </c>
      <c r="AJ175" s="1">
        <f t="shared" ca="1" si="49"/>
        <v>4</v>
      </c>
      <c r="AO175" s="1">
        <f t="shared" ca="1" si="52"/>
        <v>70</v>
      </c>
      <c r="AP175" s="1">
        <f t="shared" ca="1" si="53"/>
        <v>-99</v>
      </c>
      <c r="AS175" s="1">
        <f t="shared" ca="1" si="54"/>
        <v>84</v>
      </c>
      <c r="AV175" s="1">
        <f t="shared" ca="1" si="55"/>
        <v>-156</v>
      </c>
      <c r="AW175" s="1">
        <f t="shared" ca="1" si="56"/>
        <v>2</v>
      </c>
    </row>
    <row r="176" spans="4:52" x14ac:dyDescent="0.3">
      <c r="D176" t="str">
        <f t="shared" ca="1" si="47"/>
        <v/>
      </c>
      <c r="E176" t="str" cm="1">
        <f t="array" aca="1" ref="E176" ca="1">_xlfn.IFS(D176="","",D176="Starstone", VLOOKUP($BK$4,$BK$6:$BM$11,3)*AI179*AJ179, D176 = "Tristal", VLOOKUP($BK$14,$BK$16:$BM$24,3)*AI179*AJ179, 1=1, VLOOKUP(AO179,$AX$75:$AZ$174,3)*AI179*AJ179)</f>
        <v/>
      </c>
      <c r="F176" t="str" cm="1">
        <f t="array" aca="1" ref="F176" ca="1">IF(D176="","",_xlfn.IFS(AH179&gt;5,"Normal",AND(AH179&lt;=5,$BK$28&lt;=4),VLOOKUP(AF179,$BK$29:$BN$39,2),AND(AH179&lt;=5,$BK$28&gt;=9),VLOOKUP(AF179,$BK$29:$BN$39,2), 1=1, "Normal"))</f>
        <v/>
      </c>
      <c r="G176" t="str" cm="1">
        <f t="array" aca="1" ref="G176" ca="1">IF(D176="","",_xlfn.IFS(AH179&gt;5, "Normal", AND(AH179&lt;=5, $BL$28&lt;=8, $BL$28&gt;=5), VLOOKUP(AG179,$BK$29:$BN$39,3), AND(AH179&lt;=5,$BK$28&gt;=9), VLOOKUP(AG179,$BK$29:$BN$39,3), 1=1, "Normal"))</f>
        <v/>
      </c>
      <c r="H176" t="str">
        <f t="shared" ca="1" si="44"/>
        <v/>
      </c>
      <c r="I176" t="str">
        <f t="shared" ca="1" si="45"/>
        <v/>
      </c>
      <c r="K176" t="str" cm="1">
        <f t="array" aca="1" ref="K176" ca="1">IF(L176="","",(_xlfn.IFS(L176&gt;=15000,VLOOKUP(AW179,$BE$5:$BH$15,4),L176&gt;=4000,VLOOKUP(AW179,$BE$5:$BH$15,3),L176&gt;=100,VLOOKUP(AW179,$BE$5:$BH$15,2))))</f>
        <v/>
      </c>
      <c r="L176" t="str">
        <f t="shared" ca="1" si="46"/>
        <v/>
      </c>
      <c r="AF176" s="1">
        <f t="shared" ca="1" si="50"/>
        <v>10</v>
      </c>
      <c r="AG176" s="1">
        <f t="shared" ca="1" si="50"/>
        <v>7</v>
      </c>
      <c r="AH176" s="1"/>
      <c r="AI176" s="1">
        <f t="shared" ca="1" si="48"/>
        <v>8</v>
      </c>
      <c r="AJ176" s="1">
        <f t="shared" ca="1" si="49"/>
        <v>2</v>
      </c>
      <c r="AO176" s="1">
        <f t="shared" ca="1" si="52"/>
        <v>72</v>
      </c>
      <c r="AP176" s="1">
        <f t="shared" ca="1" si="53"/>
        <v>-100</v>
      </c>
      <c r="AS176" s="1">
        <f t="shared" ca="1" si="54"/>
        <v>37</v>
      </c>
      <c r="AV176" s="1">
        <f t="shared" ca="1" si="55"/>
        <v>-157</v>
      </c>
      <c r="AW176" s="1">
        <f t="shared" ca="1" si="56"/>
        <v>1</v>
      </c>
    </row>
    <row r="177" spans="4:51" x14ac:dyDescent="0.3">
      <c r="D177" t="str">
        <f t="shared" ca="1" si="47"/>
        <v/>
      </c>
      <c r="E177" t="str" cm="1">
        <f t="array" aca="1" ref="E177" ca="1">_xlfn.IFS(D177="","",D177="Starstone", VLOOKUP($BK$4,$BK$6:$BM$11,3)*AI180*AJ180, D177 = "Tristal", VLOOKUP($BK$14,$BK$16:$BM$24,3)*AI180*AJ180, 1=1, VLOOKUP(AO180,$AX$75:$AZ$174,3)*AI180*AJ180)</f>
        <v/>
      </c>
      <c r="F177" t="str" cm="1">
        <f t="array" aca="1" ref="F177" ca="1">IF(D177="","",_xlfn.IFS(AH180&gt;5,"Normal",AND(AH180&lt;=5,$BK$28&lt;=4),VLOOKUP(AF180,$BK$29:$BN$39,2),AND(AH180&lt;=5,$BK$28&gt;=9),VLOOKUP(AF180,$BK$29:$BN$39,2), 1=1, "Normal"))</f>
        <v/>
      </c>
      <c r="G177" t="str" cm="1">
        <f t="array" aca="1" ref="G177" ca="1">IF(D177="","",_xlfn.IFS(AH180&gt;5, "Normal", AND(AH180&lt;=5, $BL$28&lt;=8, $BL$28&gt;=5), VLOOKUP(AG180,$BK$29:$BN$39,3), AND(AH180&lt;=5,$BK$28&gt;=9), VLOOKUP(AG180,$BK$29:$BN$39,3), 1=1, "Normal"))</f>
        <v/>
      </c>
      <c r="H177" t="str">
        <f t="shared" ca="1" si="44"/>
        <v/>
      </c>
      <c r="I177" t="str">
        <f t="shared" ca="1" si="45"/>
        <v/>
      </c>
      <c r="K177" t="str" cm="1">
        <f t="array" aca="1" ref="K177" ca="1">IF(L177="","",(_xlfn.IFS(L177&gt;=15000,VLOOKUP(AW180,$BE$5:$BH$15,4),L177&gt;=4000,VLOOKUP(AW180,$BE$5:$BH$15,3),L177&gt;=100,VLOOKUP(AW180,$BE$5:$BH$15,2))))</f>
        <v/>
      </c>
      <c r="L177" t="str">
        <f t="shared" ca="1" si="46"/>
        <v/>
      </c>
      <c r="AF177" s="1">
        <f t="shared" ca="1" si="50"/>
        <v>6</v>
      </c>
      <c r="AG177" s="1">
        <f t="shared" ca="1" si="50"/>
        <v>2</v>
      </c>
      <c r="AH177" s="1"/>
      <c r="AI177" s="1">
        <f t="shared" ca="1" si="48"/>
        <v>2</v>
      </c>
      <c r="AJ177" s="1">
        <f t="shared" ca="1" si="49"/>
        <v>0.25</v>
      </c>
      <c r="AO177" s="1">
        <f t="shared" ca="1" si="52"/>
        <v>87</v>
      </c>
      <c r="AP177" s="1">
        <f t="shared" ca="1" si="53"/>
        <v>-101</v>
      </c>
      <c r="AS177" s="1">
        <f t="shared" ca="1" si="54"/>
        <v>42</v>
      </c>
      <c r="AV177" s="1">
        <f t="shared" ca="1" si="55"/>
        <v>-158</v>
      </c>
      <c r="AW177" s="1">
        <f t="shared" ca="1" si="56"/>
        <v>7</v>
      </c>
      <c r="AX177">
        <v>1</v>
      </c>
      <c r="AY177">
        <v>100</v>
      </c>
    </row>
    <row r="178" spans="4:51" x14ac:dyDescent="0.3">
      <c r="D178" t="str">
        <f t="shared" ca="1" si="47"/>
        <v/>
      </c>
      <c r="E178" t="str" cm="1">
        <f t="array" aca="1" ref="E178" ca="1">_xlfn.IFS(D178="","",D178="Starstone", VLOOKUP($BK$4,$BK$6:$BM$11,3)*AI181*AJ181, D178 = "Tristal", VLOOKUP($BK$14,$BK$16:$BM$24,3)*AI181*AJ181, 1=1, VLOOKUP(AO181,$AX$75:$AZ$174,3)*AI181*AJ181)</f>
        <v/>
      </c>
      <c r="F178" t="str" cm="1">
        <f t="array" aca="1" ref="F178" ca="1">IF(D178="","",_xlfn.IFS(AH181&gt;5,"Normal",AND(AH181&lt;=5,$BK$28&lt;=4),VLOOKUP(AF181,$BK$29:$BN$39,2),AND(AH181&lt;=5,$BK$28&gt;=9),VLOOKUP(AF181,$BK$29:$BN$39,2), 1=1, "Normal"))</f>
        <v/>
      </c>
      <c r="G178" t="str" cm="1">
        <f t="array" aca="1" ref="G178" ca="1">IF(D178="","",_xlfn.IFS(AH181&gt;5, "Normal", AND(AH181&lt;=5, $BL$28&lt;=8, $BL$28&gt;=5), VLOOKUP(AG181,$BK$29:$BN$39,3), AND(AH181&lt;=5,$BK$28&gt;=9), VLOOKUP(AG181,$BK$29:$BN$39,3), 1=1, "Normal"))</f>
        <v/>
      </c>
      <c r="H178" t="str">
        <f t="shared" ca="1" si="44"/>
        <v/>
      </c>
      <c r="I178" t="str">
        <f t="shared" ca="1" si="45"/>
        <v/>
      </c>
      <c r="K178" t="str" cm="1">
        <f t="array" aca="1" ref="K178" ca="1">IF(L178="","",(_xlfn.IFS(L178&gt;=15000,VLOOKUP(AW181,$BE$5:$BH$15,4),L178&gt;=4000,VLOOKUP(AW181,$BE$5:$BH$15,3),L178&gt;=100,VLOOKUP(AW181,$BE$5:$BH$15,2))))</f>
        <v/>
      </c>
      <c r="L178" t="str">
        <f t="shared" ca="1" si="46"/>
        <v/>
      </c>
      <c r="AF178" s="1">
        <f t="shared" ca="1" si="50"/>
        <v>10</v>
      </c>
      <c r="AG178" s="1">
        <f t="shared" ca="1" si="50"/>
        <v>2</v>
      </c>
      <c r="AH178" s="1"/>
      <c r="AI178" s="1">
        <f t="shared" ca="1" si="48"/>
        <v>8</v>
      </c>
      <c r="AJ178" s="1">
        <f t="shared" ca="1" si="49"/>
        <v>0.25</v>
      </c>
      <c r="AO178" s="1">
        <f t="shared" ca="1" si="52"/>
        <v>38</v>
      </c>
      <c r="AP178" s="1">
        <f t="shared" ca="1" si="53"/>
        <v>-102</v>
      </c>
      <c r="AS178" s="1">
        <f t="shared" ca="1" si="54"/>
        <v>77</v>
      </c>
      <c r="AV178" s="1">
        <f t="shared" ca="1" si="55"/>
        <v>-159</v>
      </c>
      <c r="AW178" s="1">
        <f t="shared" ca="1" si="56"/>
        <v>4</v>
      </c>
      <c r="AX178">
        <v>2</v>
      </c>
      <c r="AY178">
        <v>500</v>
      </c>
    </row>
    <row r="179" spans="4:51" x14ac:dyDescent="0.3">
      <c r="D179" t="str">
        <f t="shared" ca="1" si="47"/>
        <v/>
      </c>
      <c r="E179" t="str" cm="1">
        <f t="array" aca="1" ref="E179" ca="1">_xlfn.IFS(D179="","",D179="Starstone", VLOOKUP($BK$4,$BK$6:$BM$11,3)*AI182*AJ182, D179 = "Tristal", VLOOKUP($BK$14,$BK$16:$BM$24,3)*AI182*AJ182, 1=1, VLOOKUP(AO182,$AX$75:$AZ$174,3)*AI182*AJ182)</f>
        <v/>
      </c>
      <c r="F179" t="str" cm="1">
        <f t="array" aca="1" ref="F179" ca="1">IF(D179="","",_xlfn.IFS(AH182&gt;5,"Normal",AND(AH182&lt;=5,$BK$28&lt;=4),VLOOKUP(AF182,$BK$29:$BN$39,2),AND(AH182&lt;=5,$BK$28&gt;=9),VLOOKUP(AF182,$BK$29:$BN$39,2), 1=1, "Normal"))</f>
        <v/>
      </c>
      <c r="G179" t="str" cm="1">
        <f t="array" aca="1" ref="G179" ca="1">IF(D179="","",_xlfn.IFS(AH182&gt;5, "Normal", AND(AH182&lt;=5, $BL$28&lt;=8, $BL$28&gt;=5), VLOOKUP(AG182,$BK$29:$BN$39,3), AND(AH182&lt;=5,$BK$28&gt;=9), VLOOKUP(AG182,$BK$29:$BN$39,3), 1=1, "Normal"))</f>
        <v/>
      </c>
      <c r="H179" t="str">
        <f t="shared" ca="1" si="44"/>
        <v/>
      </c>
      <c r="I179" t="str">
        <f t="shared" ca="1" si="45"/>
        <v/>
      </c>
      <c r="K179" t="str" cm="1">
        <f t="array" aca="1" ref="K179" ca="1">IF(L179="","",(_xlfn.IFS(L179&gt;=15000,VLOOKUP(AW182,$BE$5:$BH$15,4),L179&gt;=4000,VLOOKUP(AW182,$BE$5:$BH$15,3),L179&gt;=100,VLOOKUP(AW182,$BE$5:$BH$15,2))))</f>
        <v/>
      </c>
      <c r="L179" t="str">
        <f t="shared" ca="1" si="46"/>
        <v/>
      </c>
      <c r="AF179" s="1">
        <f t="shared" ca="1" si="50"/>
        <v>9</v>
      </c>
      <c r="AG179" s="1">
        <f t="shared" ca="1" si="50"/>
        <v>7</v>
      </c>
      <c r="AH179" s="1"/>
      <c r="AI179" s="1">
        <f t="shared" ca="1" si="48"/>
        <v>4</v>
      </c>
      <c r="AJ179" s="1">
        <f t="shared" ca="1" si="49"/>
        <v>2</v>
      </c>
      <c r="AO179" s="1">
        <f t="shared" ca="1" si="52"/>
        <v>77</v>
      </c>
      <c r="AP179" s="1">
        <f t="shared" ca="1" si="53"/>
        <v>-103</v>
      </c>
      <c r="AS179" s="1">
        <f t="shared" ca="1" si="54"/>
        <v>98</v>
      </c>
      <c r="AV179" s="1">
        <f t="shared" ca="1" si="55"/>
        <v>-160</v>
      </c>
      <c r="AW179" s="1">
        <f t="shared" ca="1" si="56"/>
        <v>7</v>
      </c>
      <c r="AX179">
        <v>3</v>
      </c>
      <c r="AY179">
        <v>500</v>
      </c>
    </row>
    <row r="180" spans="4:51" x14ac:dyDescent="0.3">
      <c r="D180" t="str">
        <f t="shared" ca="1" si="47"/>
        <v/>
      </c>
      <c r="E180" t="str" cm="1">
        <f t="array" aca="1" ref="E180" ca="1">_xlfn.IFS(D180="","",D180="Starstone", VLOOKUP($BK$4,$BK$6:$BM$11,3)*AI183*AJ183, D180 = "Tristal", VLOOKUP($BK$14,$BK$16:$BM$24,3)*AI183*AJ183, 1=1, VLOOKUP(AO183,$AX$75:$AZ$174,3)*AI183*AJ183)</f>
        <v/>
      </c>
      <c r="F180" t="str" cm="1">
        <f t="array" aca="1" ref="F180" ca="1">IF(D180="","",_xlfn.IFS(AH183&gt;5,"Normal",AND(AH183&lt;=5,$BK$28&lt;=4),VLOOKUP(AF183,$BK$29:$BN$39,2),AND(AH183&lt;=5,$BK$28&gt;=9),VLOOKUP(AF183,$BK$29:$BN$39,2), 1=1, "Normal"))</f>
        <v/>
      </c>
      <c r="G180" t="str" cm="1">
        <f t="array" aca="1" ref="G180" ca="1">IF(D180="","",_xlfn.IFS(AH183&gt;5, "Normal", AND(AH183&lt;=5, $BL$28&lt;=8, $BL$28&gt;=5), VLOOKUP(AG183,$BK$29:$BN$39,3), AND(AH183&lt;=5,$BK$28&gt;=9), VLOOKUP(AG183,$BK$29:$BN$39,3), 1=1, "Normal"))</f>
        <v/>
      </c>
      <c r="H180" t="str">
        <f t="shared" ca="1" si="44"/>
        <v/>
      </c>
      <c r="I180" t="str">
        <f t="shared" ca="1" si="45"/>
        <v/>
      </c>
      <c r="K180" t="str" cm="1">
        <f t="array" aca="1" ref="K180" ca="1">IF(L180="","",(_xlfn.IFS(L180&gt;=15000,VLOOKUP(AW183,$BE$5:$BH$15,4),L180&gt;=4000,VLOOKUP(AW183,$BE$5:$BH$15,3),L180&gt;=100,VLOOKUP(AW183,$BE$5:$BH$15,2))))</f>
        <v/>
      </c>
      <c r="L180" t="str">
        <f t="shared" ca="1" si="46"/>
        <v/>
      </c>
      <c r="AF180" s="1">
        <f t="shared" ca="1" si="50"/>
        <v>7</v>
      </c>
      <c r="AG180" s="1">
        <f t="shared" ca="1" si="50"/>
        <v>10</v>
      </c>
      <c r="AH180" s="1"/>
      <c r="AI180" s="1">
        <f t="shared" ca="1" si="48"/>
        <v>2</v>
      </c>
      <c r="AJ180" s="1">
        <f t="shared" ca="1" si="49"/>
        <v>8</v>
      </c>
      <c r="AO180" s="1">
        <f t="shared" ca="1" si="52"/>
        <v>43</v>
      </c>
      <c r="AP180" s="1">
        <f t="shared" ca="1" si="53"/>
        <v>-104</v>
      </c>
      <c r="AS180" s="1">
        <f t="shared" ca="1" si="54"/>
        <v>85</v>
      </c>
      <c r="AV180" s="1">
        <f t="shared" ca="1" si="55"/>
        <v>-161</v>
      </c>
      <c r="AW180" s="1">
        <f t="shared" ca="1" si="56"/>
        <v>10</v>
      </c>
      <c r="AX180">
        <v>4</v>
      </c>
      <c r="AY180">
        <v>1000</v>
      </c>
    </row>
    <row r="181" spans="4:51" x14ac:dyDescent="0.3">
      <c r="D181" t="str">
        <f t="shared" ca="1" si="47"/>
        <v/>
      </c>
      <c r="E181" t="str" cm="1">
        <f t="array" aca="1" ref="E181" ca="1">_xlfn.IFS(D181="","",D181="Starstone", VLOOKUP($BK$4,$BK$6:$BM$11,3)*AI184*AJ184, D181 = "Tristal", VLOOKUP($BK$14,$BK$16:$BM$24,3)*AI184*AJ184, 1=1, VLOOKUP(AO184,$AX$75:$AZ$174,3)*AI184*AJ184)</f>
        <v/>
      </c>
      <c r="F181" t="str" cm="1">
        <f t="array" aca="1" ref="F181" ca="1">IF(D181="","",_xlfn.IFS(AH184&gt;5,"Normal",AND(AH184&lt;=5,$BK$28&lt;=4),VLOOKUP(AF184,$BK$29:$BN$39,2),AND(AH184&lt;=5,$BK$28&gt;=9),VLOOKUP(AF184,$BK$29:$BN$39,2), 1=1, "Normal"))</f>
        <v/>
      </c>
      <c r="G181" t="str" cm="1">
        <f t="array" aca="1" ref="G181" ca="1">IF(D181="","",_xlfn.IFS(AH184&gt;5, "Normal", AND(AH184&lt;=5, $BL$28&lt;=8, $BL$28&gt;=5), VLOOKUP(AG184,$BK$29:$BN$39,3), AND(AH184&lt;=5,$BK$28&gt;=9), VLOOKUP(AG184,$BK$29:$BN$39,3), 1=1, "Normal"))</f>
        <v/>
      </c>
      <c r="H181" t="str">
        <f t="shared" ca="1" si="44"/>
        <v/>
      </c>
      <c r="I181" t="str">
        <f t="shared" ca="1" si="45"/>
        <v/>
      </c>
      <c r="K181" t="str" cm="1">
        <f t="array" aca="1" ref="K181" ca="1">IF(L181="","",(_xlfn.IFS(L181&gt;=15000,VLOOKUP(AW184,$BE$5:$BH$15,4),L181&gt;=4000,VLOOKUP(AW184,$BE$5:$BH$15,3),L181&gt;=100,VLOOKUP(AW184,$BE$5:$BH$15,2))))</f>
        <v/>
      </c>
      <c r="L181" t="str">
        <f t="shared" ca="1" si="46"/>
        <v/>
      </c>
      <c r="AF181" s="1">
        <f t="shared" ca="1" si="50"/>
        <v>6</v>
      </c>
      <c r="AG181" s="1">
        <f t="shared" ca="1" si="50"/>
        <v>6</v>
      </c>
      <c r="AH181" s="1"/>
      <c r="AI181" s="1">
        <f t="shared" ca="1" si="48"/>
        <v>2</v>
      </c>
      <c r="AJ181" s="1">
        <f t="shared" ca="1" si="49"/>
        <v>2</v>
      </c>
      <c r="AO181" s="1">
        <f t="shared" ca="1" si="52"/>
        <v>39</v>
      </c>
      <c r="AP181" s="1">
        <f t="shared" ca="1" si="53"/>
        <v>-105</v>
      </c>
      <c r="AS181" s="1">
        <f t="shared" ca="1" si="54"/>
        <v>21</v>
      </c>
      <c r="AV181" s="1">
        <f t="shared" ca="1" si="55"/>
        <v>-162</v>
      </c>
      <c r="AW181" s="1">
        <f t="shared" ca="1" si="56"/>
        <v>6</v>
      </c>
      <c r="AX181">
        <v>5</v>
      </c>
      <c r="AY181">
        <v>1000</v>
      </c>
    </row>
    <row r="182" spans="4:51" x14ac:dyDescent="0.3">
      <c r="D182" t="str">
        <f t="shared" ca="1" si="47"/>
        <v/>
      </c>
      <c r="E182" t="str" cm="1">
        <f t="array" aca="1" ref="E182" ca="1">_xlfn.IFS(D182="","",D182="Starstone", VLOOKUP($BK$4,$BK$6:$BM$11,3)*AI185*AJ185, D182 = "Tristal", VLOOKUP($BK$14,$BK$16:$BM$24,3)*AI185*AJ185, 1=1, VLOOKUP(AO185,$AX$75:$AZ$174,3)*AI185*AJ185)</f>
        <v/>
      </c>
      <c r="F182" t="str" cm="1">
        <f t="array" aca="1" ref="F182" ca="1">IF(D182="","",_xlfn.IFS(AH185&gt;5,"Normal",AND(AH185&lt;=5,$BK$28&lt;=4),VLOOKUP(AF185,$BK$29:$BN$39,2),AND(AH185&lt;=5,$BK$28&gt;=9),VLOOKUP(AF185,$BK$29:$BN$39,2), 1=1, "Normal"))</f>
        <v/>
      </c>
      <c r="G182" t="str" cm="1">
        <f t="array" aca="1" ref="G182" ca="1">IF(D182="","",_xlfn.IFS(AH185&gt;5, "Normal", AND(AH185&lt;=5, $BL$28&lt;=8, $BL$28&gt;=5), VLOOKUP(AG185,$BK$29:$BN$39,3), AND(AH185&lt;=5,$BK$28&gt;=9), VLOOKUP(AG185,$BK$29:$BN$39,3), 1=1, "Normal"))</f>
        <v/>
      </c>
      <c r="H182" t="str">
        <f t="shared" ca="1" si="44"/>
        <v/>
      </c>
      <c r="I182" t="str">
        <f t="shared" ca="1" si="45"/>
        <v/>
      </c>
      <c r="K182" t="str" cm="1">
        <f t="array" aca="1" ref="K182" ca="1">IF(L182="","",(_xlfn.IFS(L182&gt;=15000,VLOOKUP(AW185,$BE$5:$BH$15,4),L182&gt;=4000,VLOOKUP(AW185,$BE$5:$BH$15,3),L182&gt;=100,VLOOKUP(AW185,$BE$5:$BH$15,2))))</f>
        <v/>
      </c>
      <c r="L182" t="str">
        <f t="shared" ca="1" si="46"/>
        <v/>
      </c>
      <c r="AF182" s="1">
        <f t="shared" ca="1" si="50"/>
        <v>1</v>
      </c>
      <c r="AG182" s="1">
        <f t="shared" ca="1" si="50"/>
        <v>8</v>
      </c>
      <c r="AH182" s="1"/>
      <c r="AI182" s="1">
        <f t="shared" ca="1" si="48"/>
        <v>0.125</v>
      </c>
      <c r="AJ182" s="1">
        <f t="shared" ca="1" si="49"/>
        <v>4</v>
      </c>
      <c r="AO182" s="1">
        <f t="shared" ca="1" si="52"/>
        <v>66</v>
      </c>
      <c r="AP182" s="1">
        <f t="shared" ca="1" si="53"/>
        <v>-106</v>
      </c>
      <c r="AS182" s="1">
        <f t="shared" ca="1" si="54"/>
        <v>41</v>
      </c>
      <c r="AV182" s="1">
        <f t="shared" ca="1" si="55"/>
        <v>-163</v>
      </c>
      <c r="AW182" s="1">
        <f t="shared" ca="1" si="56"/>
        <v>3</v>
      </c>
      <c r="AX182">
        <v>6</v>
      </c>
      <c r="AY182">
        <v>1000</v>
      </c>
    </row>
    <row r="183" spans="4:51" x14ac:dyDescent="0.3">
      <c r="D183" t="str">
        <f t="shared" ca="1" si="47"/>
        <v/>
      </c>
      <c r="E183" t="str" cm="1">
        <f t="array" aca="1" ref="E183" ca="1">_xlfn.IFS(D183="","",D183="Starstone", VLOOKUP($BK$4,$BK$6:$BM$11,3)*AI186*AJ186, D183 = "Tristal", VLOOKUP($BK$14,$BK$16:$BM$24,3)*AI186*AJ186, 1=1, VLOOKUP(AO186,$AX$75:$AZ$174,3)*AI186*AJ186)</f>
        <v/>
      </c>
      <c r="F183" t="str" cm="1">
        <f t="array" aca="1" ref="F183" ca="1">IF(D183="","",_xlfn.IFS(AH186&gt;5,"Normal",AND(AH186&lt;=5,$BK$28&lt;=4),VLOOKUP(AF186,$BK$29:$BN$39,2),AND(AH186&lt;=5,$BK$28&gt;=9),VLOOKUP(AF186,$BK$29:$BN$39,2), 1=1, "Normal"))</f>
        <v/>
      </c>
      <c r="G183" t="str" cm="1">
        <f t="array" aca="1" ref="G183" ca="1">IF(D183="","",_xlfn.IFS(AH186&gt;5, "Normal", AND(AH186&lt;=5, $BL$28&lt;=8, $BL$28&gt;=5), VLOOKUP(AG186,$BK$29:$BN$39,3), AND(AH186&lt;=5,$BK$28&gt;=9), VLOOKUP(AG186,$BK$29:$BN$39,3), 1=1, "Normal"))</f>
        <v/>
      </c>
      <c r="H183" t="str">
        <f t="shared" ca="1" si="44"/>
        <v/>
      </c>
      <c r="I183" t="str">
        <f t="shared" ca="1" si="45"/>
        <v/>
      </c>
      <c r="K183" t="str" cm="1">
        <f t="array" aca="1" ref="K183" ca="1">IF(L183="","",(_xlfn.IFS(L183&gt;=15000,VLOOKUP(AW186,$BE$5:$BH$15,4),L183&gt;=4000,VLOOKUP(AW186,$BE$5:$BH$15,3),L183&gt;=100,VLOOKUP(AW186,$BE$5:$BH$15,2))))</f>
        <v/>
      </c>
      <c r="L183" t="str">
        <f t="shared" ca="1" si="46"/>
        <v/>
      </c>
      <c r="AF183" s="1">
        <f t="shared" ca="1" si="50"/>
        <v>7</v>
      </c>
      <c r="AG183" s="1">
        <f t="shared" ca="1" si="50"/>
        <v>6</v>
      </c>
      <c r="AH183" s="1"/>
      <c r="AI183" s="1">
        <f t="shared" ca="1" si="48"/>
        <v>2</v>
      </c>
      <c r="AJ183" s="1">
        <f t="shared" ca="1" si="49"/>
        <v>2</v>
      </c>
      <c r="AO183" s="1">
        <f t="shared" ca="1" si="52"/>
        <v>45</v>
      </c>
      <c r="AP183" s="1">
        <f t="shared" ca="1" si="53"/>
        <v>-107</v>
      </c>
      <c r="AS183" s="1">
        <f t="shared" ca="1" si="54"/>
        <v>41</v>
      </c>
      <c r="AV183" s="1">
        <f t="shared" ca="1" si="55"/>
        <v>-164</v>
      </c>
      <c r="AW183" s="1">
        <f t="shared" ca="1" si="56"/>
        <v>6</v>
      </c>
      <c r="AX183">
        <v>7</v>
      </c>
      <c r="AY183">
        <v>1500</v>
      </c>
    </row>
    <row r="184" spans="4:51" x14ac:dyDescent="0.3">
      <c r="D184" t="str">
        <f t="shared" ca="1" si="47"/>
        <v/>
      </c>
      <c r="E184" t="str" cm="1">
        <f t="array" aca="1" ref="E184" ca="1">_xlfn.IFS(D184="","",D184="Starstone", VLOOKUP($BK$4,$BK$6:$BM$11,3)*AI187*AJ187, D184 = "Tristal", VLOOKUP($BK$14,$BK$16:$BM$24,3)*AI187*AJ187, 1=1, VLOOKUP(AO187,$AX$75:$AZ$174,3)*AI187*AJ187)</f>
        <v/>
      </c>
      <c r="F184" t="str" cm="1">
        <f t="array" aca="1" ref="F184" ca="1">IF(D184="","",_xlfn.IFS(AH187&gt;5,"Normal",AND(AH187&lt;=5,$BK$28&lt;=4),VLOOKUP(AF187,$BK$29:$BN$39,2),AND(AH187&lt;=5,$BK$28&gt;=9),VLOOKUP(AF187,$BK$29:$BN$39,2), 1=1, "Normal"))</f>
        <v/>
      </c>
      <c r="G184" t="str" cm="1">
        <f t="array" aca="1" ref="G184" ca="1">IF(D184="","",_xlfn.IFS(AH187&gt;5, "Normal", AND(AH187&lt;=5, $BL$28&lt;=8, $BL$28&gt;=5), VLOOKUP(AG187,$BK$29:$BN$39,3), AND(AH187&lt;=5,$BK$28&gt;=9), VLOOKUP(AG187,$BK$29:$BN$39,3), 1=1, "Normal"))</f>
        <v/>
      </c>
      <c r="H184" t="str">
        <f t="shared" ca="1" si="44"/>
        <v/>
      </c>
      <c r="I184" t="str">
        <f t="shared" ca="1" si="45"/>
        <v/>
      </c>
      <c r="K184" t="str" cm="1">
        <f t="array" aca="1" ref="K184" ca="1">IF(L184="","",(_xlfn.IFS(L184&gt;=15000,VLOOKUP(AW187,$BE$5:$BH$15,4),L184&gt;=4000,VLOOKUP(AW187,$BE$5:$BH$15,3),L184&gt;=100,VLOOKUP(AW187,$BE$5:$BH$15,2))))</f>
        <v/>
      </c>
      <c r="L184" t="str">
        <f t="shared" ca="1" si="46"/>
        <v/>
      </c>
      <c r="AF184" s="1">
        <f t="shared" ca="1" si="50"/>
        <v>8</v>
      </c>
      <c r="AG184" s="1">
        <f t="shared" ca="1" si="50"/>
        <v>5</v>
      </c>
      <c r="AH184" s="1"/>
      <c r="AI184" s="1">
        <f t="shared" ca="1" si="48"/>
        <v>4</v>
      </c>
      <c r="AJ184" s="1">
        <f t="shared" ca="1" si="49"/>
        <v>0.5</v>
      </c>
      <c r="AO184" s="1">
        <f t="shared" ca="1" si="52"/>
        <v>67</v>
      </c>
      <c r="AP184" s="1">
        <f t="shared" ca="1" si="53"/>
        <v>-108</v>
      </c>
      <c r="AS184" s="1">
        <f t="shared" ca="1" si="54"/>
        <v>64</v>
      </c>
      <c r="AV184" s="1">
        <f t="shared" ca="1" si="55"/>
        <v>-165</v>
      </c>
      <c r="AW184" s="1">
        <f t="shared" ca="1" si="56"/>
        <v>7</v>
      </c>
      <c r="AX184">
        <v>8</v>
      </c>
      <c r="AY184">
        <v>1500</v>
      </c>
    </row>
    <row r="185" spans="4:51" x14ac:dyDescent="0.3">
      <c r="D185" t="str">
        <f t="shared" ca="1" si="47"/>
        <v/>
      </c>
      <c r="E185" t="str" cm="1">
        <f t="array" aca="1" ref="E185" ca="1">_xlfn.IFS(D185="","",D185="Starstone", VLOOKUP($BK$4,$BK$6:$BM$11,3)*AI188*AJ188, D185 = "Tristal", VLOOKUP($BK$14,$BK$16:$BM$24,3)*AI188*AJ188, 1=1, VLOOKUP(AO188,$AX$75:$AZ$174,3)*AI188*AJ188)</f>
        <v/>
      </c>
      <c r="F185" t="str" cm="1">
        <f t="array" aca="1" ref="F185" ca="1">IF(D185="","",_xlfn.IFS(AH188&gt;5,"Normal",AND(AH188&lt;=5,$BK$28&lt;=4),VLOOKUP(AF188,$BK$29:$BN$39,2),AND(AH188&lt;=5,$BK$28&gt;=9),VLOOKUP(AF188,$BK$29:$BN$39,2), 1=1, "Normal"))</f>
        <v/>
      </c>
      <c r="G185" t="str" cm="1">
        <f t="array" aca="1" ref="G185" ca="1">IF(D185="","",_xlfn.IFS(AH188&gt;5, "Normal", AND(AH188&lt;=5, $BL$28&lt;=8, $BL$28&gt;=5), VLOOKUP(AG188,$BK$29:$BN$39,3), AND(AH188&lt;=5,$BK$28&gt;=9), VLOOKUP(AG188,$BK$29:$BN$39,3), 1=1, "Normal"))</f>
        <v/>
      </c>
      <c r="H185" t="str">
        <f t="shared" ca="1" si="44"/>
        <v/>
      </c>
      <c r="I185" t="str">
        <f t="shared" ca="1" si="45"/>
        <v/>
      </c>
      <c r="K185" t="str" cm="1">
        <f t="array" aca="1" ref="K185" ca="1">IF(L185="","",(_xlfn.IFS(L185&gt;=15000,VLOOKUP(AW188,$BE$5:$BH$15,4),L185&gt;=4000,VLOOKUP(AW188,$BE$5:$BH$15,3),L185&gt;=100,VLOOKUP(AW188,$BE$5:$BH$15,2))))</f>
        <v/>
      </c>
      <c r="L185" t="str">
        <f t="shared" ca="1" si="46"/>
        <v/>
      </c>
      <c r="AF185" s="1">
        <f t="shared" ca="1" si="50"/>
        <v>9</v>
      </c>
      <c r="AG185" s="1">
        <f t="shared" ca="1" si="50"/>
        <v>6</v>
      </c>
      <c r="AH185" s="1"/>
      <c r="AI185" s="1">
        <f t="shared" ca="1" si="48"/>
        <v>4</v>
      </c>
      <c r="AJ185" s="1">
        <f t="shared" ca="1" si="49"/>
        <v>2</v>
      </c>
      <c r="AO185" s="1">
        <f t="shared" ca="1" si="52"/>
        <v>28</v>
      </c>
      <c r="AP185" s="1">
        <f t="shared" ca="1" si="53"/>
        <v>-109</v>
      </c>
      <c r="AS185" s="1">
        <f t="shared" ca="1" si="54"/>
        <v>57</v>
      </c>
      <c r="AV185" s="1">
        <f t="shared" ca="1" si="55"/>
        <v>-166</v>
      </c>
      <c r="AW185" s="1">
        <f t="shared" ca="1" si="56"/>
        <v>10</v>
      </c>
      <c r="AX185">
        <v>9</v>
      </c>
      <c r="AY185">
        <v>1500</v>
      </c>
    </row>
    <row r="186" spans="4:51" x14ac:dyDescent="0.3">
      <c r="D186" t="str">
        <f t="shared" ca="1" si="47"/>
        <v/>
      </c>
      <c r="E186" t="str" cm="1">
        <f t="array" aca="1" ref="E186" ca="1">_xlfn.IFS(D186="","",D186="Starstone", VLOOKUP($BK$4,$BK$6:$BM$11,3)*AI189*AJ189, D186 = "Tristal", VLOOKUP($BK$14,$BK$16:$BM$24,3)*AI189*AJ189, 1=1, VLOOKUP(AO189,$AX$75:$AZ$174,3)*AI189*AJ189)</f>
        <v/>
      </c>
      <c r="F186" t="str" cm="1">
        <f t="array" aca="1" ref="F186" ca="1">IF(D186="","",_xlfn.IFS(AH189&gt;5,"Normal",AND(AH189&lt;=5,$BK$28&lt;=4),VLOOKUP(AF189,$BK$29:$BN$39,2),AND(AH189&lt;=5,$BK$28&gt;=9),VLOOKUP(AF189,$BK$29:$BN$39,2), 1=1, "Normal"))</f>
        <v/>
      </c>
      <c r="G186" t="str" cm="1">
        <f t="array" aca="1" ref="G186" ca="1">IF(D186="","",_xlfn.IFS(AH189&gt;5, "Normal", AND(AH189&lt;=5, $BL$28&lt;=8, $BL$28&gt;=5), VLOOKUP(AG189,$BK$29:$BN$39,3), AND(AH189&lt;=5,$BK$28&gt;=9), VLOOKUP(AG189,$BK$29:$BN$39,3), 1=1, "Normal"))</f>
        <v/>
      </c>
      <c r="H186" t="str">
        <f t="shared" ca="1" si="44"/>
        <v/>
      </c>
      <c r="I186" t="str">
        <f t="shared" ca="1" si="45"/>
        <v/>
      </c>
      <c r="K186" t="str" cm="1">
        <f t="array" aca="1" ref="K186" ca="1">IF(L186="","",(_xlfn.IFS(L186&gt;=15000,VLOOKUP(AW189,$BE$5:$BH$15,4),L186&gt;=4000,VLOOKUP(AW189,$BE$5:$BH$15,3),L186&gt;=100,VLOOKUP(AW189,$BE$5:$BH$15,2))))</f>
        <v/>
      </c>
      <c r="L186" t="str">
        <f t="shared" ca="1" si="46"/>
        <v/>
      </c>
      <c r="AF186" s="1">
        <f t="shared" ca="1" si="50"/>
        <v>2</v>
      </c>
      <c r="AG186" s="1">
        <f t="shared" ca="1" si="50"/>
        <v>5</v>
      </c>
      <c r="AH186" s="1"/>
      <c r="AI186" s="1">
        <f t="shared" ca="1" si="48"/>
        <v>0.25</v>
      </c>
      <c r="AJ186" s="1">
        <f t="shared" ca="1" si="49"/>
        <v>0.5</v>
      </c>
      <c r="AO186" s="1">
        <f t="shared" ca="1" si="52"/>
        <v>89</v>
      </c>
      <c r="AP186" s="1">
        <f t="shared" ca="1" si="53"/>
        <v>-110</v>
      </c>
      <c r="AS186" s="1">
        <f t="shared" ca="1" si="54"/>
        <v>1</v>
      </c>
      <c r="AV186" s="1">
        <f t="shared" ca="1" si="55"/>
        <v>-167</v>
      </c>
      <c r="AW186" s="1">
        <f t="shared" ca="1" si="56"/>
        <v>7</v>
      </c>
      <c r="AX186">
        <v>10</v>
      </c>
      <c r="AY186">
        <v>1500</v>
      </c>
    </row>
    <row r="187" spans="4:51" x14ac:dyDescent="0.3">
      <c r="D187" t="str">
        <f t="shared" ca="1" si="47"/>
        <v/>
      </c>
      <c r="E187" t="str" cm="1">
        <f t="array" aca="1" ref="E187" ca="1">_xlfn.IFS(D187="","",D187="Starstone", VLOOKUP($BK$4,$BK$6:$BM$11,3)*AI190*AJ190, D187 = "Tristal", VLOOKUP($BK$14,$BK$16:$BM$24,3)*AI190*AJ190, 1=1, VLOOKUP(AO190,$AX$75:$AZ$174,3)*AI190*AJ190)</f>
        <v/>
      </c>
      <c r="F187" t="str" cm="1">
        <f t="array" aca="1" ref="F187" ca="1">IF(D187="","",_xlfn.IFS(AH190&gt;5,"Normal",AND(AH190&lt;=5,$BK$28&lt;=4),VLOOKUP(AF190,$BK$29:$BN$39,2),AND(AH190&lt;=5,$BK$28&gt;=9),VLOOKUP(AF190,$BK$29:$BN$39,2), 1=1, "Normal"))</f>
        <v/>
      </c>
      <c r="G187" t="str" cm="1">
        <f t="array" aca="1" ref="G187" ca="1">IF(D187="","",_xlfn.IFS(AH190&gt;5, "Normal", AND(AH190&lt;=5, $BL$28&lt;=8, $BL$28&gt;=5), VLOOKUP(AG190,$BK$29:$BN$39,3), AND(AH190&lt;=5,$BK$28&gt;=9), VLOOKUP(AG190,$BK$29:$BN$39,3), 1=1, "Normal"))</f>
        <v/>
      </c>
      <c r="H187" t="str">
        <f t="shared" ca="1" si="44"/>
        <v/>
      </c>
      <c r="I187" t="str">
        <f t="shared" ca="1" si="45"/>
        <v/>
      </c>
      <c r="K187" t="str" cm="1">
        <f t="array" aca="1" ref="K187" ca="1">IF(L187="","",(_xlfn.IFS(L187&gt;=15000,VLOOKUP(AW190,$BE$5:$BH$15,4),L187&gt;=4000,VLOOKUP(AW190,$BE$5:$BH$15,3),L187&gt;=100,VLOOKUP(AW190,$BE$5:$BH$15,2))))</f>
        <v/>
      </c>
      <c r="L187" t="str">
        <f t="shared" ca="1" si="46"/>
        <v/>
      </c>
      <c r="AF187" s="1">
        <f t="shared" ca="1" si="50"/>
        <v>8</v>
      </c>
      <c r="AG187" s="1">
        <f t="shared" ca="1" si="50"/>
        <v>6</v>
      </c>
      <c r="AH187" s="1"/>
      <c r="AI187" s="1">
        <f t="shared" ca="1" si="48"/>
        <v>4</v>
      </c>
      <c r="AJ187" s="1">
        <f t="shared" ca="1" si="49"/>
        <v>2</v>
      </c>
      <c r="AO187" s="1">
        <f t="shared" ca="1" si="52"/>
        <v>15</v>
      </c>
      <c r="AP187" s="1">
        <f t="shared" ca="1" si="53"/>
        <v>-111</v>
      </c>
      <c r="AS187" s="1">
        <f t="shared" ca="1" si="54"/>
        <v>76</v>
      </c>
      <c r="AV187" s="1">
        <f t="shared" ca="1" si="55"/>
        <v>-168</v>
      </c>
      <c r="AW187" s="1">
        <f t="shared" ca="1" si="56"/>
        <v>3</v>
      </c>
      <c r="AX187">
        <v>11</v>
      </c>
      <c r="AY187">
        <v>2000</v>
      </c>
    </row>
    <row r="188" spans="4:51" x14ac:dyDescent="0.3">
      <c r="D188" t="str">
        <f t="shared" ca="1" si="47"/>
        <v/>
      </c>
      <c r="E188" t="str" cm="1">
        <f t="array" aca="1" ref="E188" ca="1">_xlfn.IFS(D188="","",D188="Starstone", VLOOKUP($BK$4,$BK$6:$BM$11,3)*AI191*AJ191, D188 = "Tristal", VLOOKUP($BK$14,$BK$16:$BM$24,3)*AI191*AJ191, 1=1, VLOOKUP(AO191,$AX$75:$AZ$174,3)*AI191*AJ191)</f>
        <v/>
      </c>
      <c r="F188" t="str" cm="1">
        <f t="array" aca="1" ref="F188" ca="1">IF(D188="","",_xlfn.IFS(AH191&gt;5,"Normal",AND(AH191&lt;=5,$BK$28&lt;=4),VLOOKUP(AF191,$BK$29:$BN$39,2),AND(AH191&lt;=5,$BK$28&gt;=9),VLOOKUP(AF191,$BK$29:$BN$39,2), 1=1, "Normal"))</f>
        <v/>
      </c>
      <c r="G188" t="str" cm="1">
        <f t="array" aca="1" ref="G188" ca="1">IF(D188="","",_xlfn.IFS(AH191&gt;5, "Normal", AND(AH191&lt;=5, $BL$28&lt;=8, $BL$28&gt;=5), VLOOKUP(AG191,$BK$29:$BN$39,3), AND(AH191&lt;=5,$BK$28&gt;=9), VLOOKUP(AG191,$BK$29:$BN$39,3), 1=1, "Normal"))</f>
        <v/>
      </c>
      <c r="H188" t="str">
        <f t="shared" ca="1" si="44"/>
        <v/>
      </c>
      <c r="I188" t="str">
        <f t="shared" ca="1" si="45"/>
        <v/>
      </c>
      <c r="K188" t="str" cm="1">
        <f t="array" aca="1" ref="K188" ca="1">IF(L188="","",(_xlfn.IFS(L188&gt;=15000,VLOOKUP(AW191,$BE$5:$BH$15,4),L188&gt;=4000,VLOOKUP(AW191,$BE$5:$BH$15,3),L188&gt;=100,VLOOKUP(AW191,$BE$5:$BH$15,2))))</f>
        <v/>
      </c>
      <c r="L188" t="str">
        <f t="shared" ca="1" si="46"/>
        <v/>
      </c>
      <c r="AF188" s="1">
        <f t="shared" ca="1" si="50"/>
        <v>3</v>
      </c>
      <c r="AG188" s="1">
        <f t="shared" ca="1" si="50"/>
        <v>2</v>
      </c>
      <c r="AH188" s="1"/>
      <c r="AI188" s="1">
        <f t="shared" ca="1" si="48"/>
        <v>0.25</v>
      </c>
      <c r="AJ188" s="1">
        <f t="shared" ca="1" si="49"/>
        <v>0.25</v>
      </c>
      <c r="AO188" s="1">
        <f t="shared" ca="1" si="52"/>
        <v>23</v>
      </c>
      <c r="AP188" s="1">
        <f t="shared" ca="1" si="53"/>
        <v>-112</v>
      </c>
      <c r="AS188" s="1">
        <f t="shared" ca="1" si="54"/>
        <v>77</v>
      </c>
      <c r="AV188" s="1">
        <f t="shared" ca="1" si="55"/>
        <v>-169</v>
      </c>
      <c r="AW188" s="1">
        <f t="shared" ca="1" si="56"/>
        <v>9</v>
      </c>
      <c r="AX188">
        <v>12</v>
      </c>
      <c r="AY188">
        <v>2000</v>
      </c>
    </row>
    <row r="189" spans="4:51" x14ac:dyDescent="0.3">
      <c r="D189" t="str">
        <f t="shared" ca="1" si="47"/>
        <v/>
      </c>
      <c r="E189" t="str" cm="1">
        <f t="array" aca="1" ref="E189" ca="1">_xlfn.IFS(D189="","",D189="Starstone", VLOOKUP($BK$4,$BK$6:$BM$11,3)*AI192*AJ192, D189 = "Tristal", VLOOKUP($BK$14,$BK$16:$BM$24,3)*AI192*AJ192, 1=1, VLOOKUP(AO192,$AX$75:$AZ$174,3)*AI192*AJ192)</f>
        <v/>
      </c>
      <c r="F189" t="str" cm="1">
        <f t="array" aca="1" ref="F189" ca="1">IF(D189="","",_xlfn.IFS(AH192&gt;5,"Normal",AND(AH192&lt;=5,$BK$28&lt;=4),VLOOKUP(AF192,$BK$29:$BN$39,2),AND(AH192&lt;=5,$BK$28&gt;=9),VLOOKUP(AF192,$BK$29:$BN$39,2), 1=1, "Normal"))</f>
        <v/>
      </c>
      <c r="G189" t="str" cm="1">
        <f t="array" aca="1" ref="G189" ca="1">IF(D189="","",_xlfn.IFS(AH192&gt;5, "Normal", AND(AH192&lt;=5, $BL$28&lt;=8, $BL$28&gt;=5), VLOOKUP(AG192,$BK$29:$BN$39,3), AND(AH192&lt;=5,$BK$28&gt;=9), VLOOKUP(AG192,$BK$29:$BN$39,3), 1=1, "Normal"))</f>
        <v/>
      </c>
      <c r="H189" t="str">
        <f t="shared" ca="1" si="44"/>
        <v/>
      </c>
      <c r="I189" t="str">
        <f t="shared" ca="1" si="45"/>
        <v/>
      </c>
      <c r="K189" t="str" cm="1">
        <f t="array" aca="1" ref="K189" ca="1">IF(L189="","",(_xlfn.IFS(L189&gt;=15000,VLOOKUP(AW192,$BE$5:$BH$15,4),L189&gt;=4000,VLOOKUP(AW192,$BE$5:$BH$15,3),L189&gt;=100,VLOOKUP(AW192,$BE$5:$BH$15,2))))</f>
        <v/>
      </c>
      <c r="L189" t="str">
        <f t="shared" ca="1" si="46"/>
        <v/>
      </c>
      <c r="AF189" s="1">
        <f t="shared" ca="1" si="50"/>
        <v>9</v>
      </c>
      <c r="AG189" s="1">
        <f t="shared" ca="1" si="50"/>
        <v>2</v>
      </c>
      <c r="AH189" s="1"/>
      <c r="AI189" s="1">
        <f t="shared" ca="1" si="48"/>
        <v>4</v>
      </c>
      <c r="AJ189" s="1">
        <f t="shared" ca="1" si="49"/>
        <v>0.25</v>
      </c>
      <c r="AO189" s="1">
        <f t="shared" ca="1" si="52"/>
        <v>79</v>
      </c>
      <c r="AP189" s="1">
        <f t="shared" ca="1" si="53"/>
        <v>-113</v>
      </c>
      <c r="AS189" s="1">
        <f t="shared" ca="1" si="54"/>
        <v>62</v>
      </c>
      <c r="AV189" s="1">
        <f t="shared" ca="1" si="55"/>
        <v>-170</v>
      </c>
      <c r="AW189" s="1">
        <f t="shared" ca="1" si="56"/>
        <v>3</v>
      </c>
      <c r="AX189">
        <v>13</v>
      </c>
      <c r="AY189">
        <v>2000</v>
      </c>
    </row>
    <row r="190" spans="4:51" x14ac:dyDescent="0.3">
      <c r="D190" t="str">
        <f t="shared" ca="1" si="47"/>
        <v/>
      </c>
      <c r="E190" t="str" cm="1">
        <f t="array" aca="1" ref="E190" ca="1">_xlfn.IFS(D190="","",D190="Starstone", VLOOKUP($BK$4,$BK$6:$BM$11,3)*AI193*AJ193, D190 = "Tristal", VLOOKUP($BK$14,$BK$16:$BM$24,3)*AI193*AJ193, 1=1, VLOOKUP(AO193,$AX$75:$AZ$174,3)*AI193*AJ193)</f>
        <v/>
      </c>
      <c r="F190" t="str" cm="1">
        <f t="array" aca="1" ref="F190" ca="1">IF(D190="","",_xlfn.IFS(AH193&gt;5,"Normal",AND(AH193&lt;=5,$BK$28&lt;=4),VLOOKUP(AF193,$BK$29:$BN$39,2),AND(AH193&lt;=5,$BK$28&gt;=9),VLOOKUP(AF193,$BK$29:$BN$39,2), 1=1, "Normal"))</f>
        <v/>
      </c>
      <c r="G190" t="str" cm="1">
        <f t="array" aca="1" ref="G190" ca="1">IF(D190="","",_xlfn.IFS(AH193&gt;5, "Normal", AND(AH193&lt;=5, $BL$28&lt;=8, $BL$28&gt;=5), VLOOKUP(AG193,$BK$29:$BN$39,3), AND(AH193&lt;=5,$BK$28&gt;=9), VLOOKUP(AG193,$BK$29:$BN$39,3), 1=1, "Normal"))</f>
        <v/>
      </c>
      <c r="H190" t="str">
        <f t="shared" ca="1" si="44"/>
        <v/>
      </c>
      <c r="I190" t="str">
        <f t="shared" ca="1" si="45"/>
        <v/>
      </c>
      <c r="K190" t="str" cm="1">
        <f t="array" aca="1" ref="K190" ca="1">IF(L190="","",(_xlfn.IFS(L190&gt;=15000,VLOOKUP(AW193,$BE$5:$BH$15,4),L190&gt;=4000,VLOOKUP(AW193,$BE$5:$BH$15,3),L190&gt;=100,VLOOKUP(AW193,$BE$5:$BH$15,2))))</f>
        <v/>
      </c>
      <c r="L190" t="str">
        <f t="shared" ca="1" si="46"/>
        <v/>
      </c>
      <c r="AF190" s="1">
        <f t="shared" ca="1" si="50"/>
        <v>8</v>
      </c>
      <c r="AG190" s="1">
        <f t="shared" ca="1" si="50"/>
        <v>6</v>
      </c>
      <c r="AH190" s="1"/>
      <c r="AI190" s="1">
        <f t="shared" ca="1" si="48"/>
        <v>4</v>
      </c>
      <c r="AJ190" s="1">
        <f t="shared" ca="1" si="49"/>
        <v>2</v>
      </c>
      <c r="AO190" s="1">
        <f t="shared" ca="1" si="52"/>
        <v>25</v>
      </c>
      <c r="AP190" s="1">
        <f t="shared" ca="1" si="53"/>
        <v>-114</v>
      </c>
      <c r="AS190" s="1">
        <f t="shared" ca="1" si="54"/>
        <v>23</v>
      </c>
      <c r="AV190" s="1">
        <f t="shared" ca="1" si="55"/>
        <v>-171</v>
      </c>
      <c r="AW190" s="1">
        <f t="shared" ca="1" si="56"/>
        <v>10</v>
      </c>
      <c r="AX190">
        <v>14</v>
      </c>
      <c r="AY190">
        <v>2000</v>
      </c>
    </row>
    <row r="191" spans="4:51" x14ac:dyDescent="0.3">
      <c r="D191" t="str">
        <f t="shared" ca="1" si="47"/>
        <v/>
      </c>
      <c r="E191" t="str" cm="1">
        <f t="array" aca="1" ref="E191" ca="1">_xlfn.IFS(D191="","",D191="Starstone", VLOOKUP($BK$4,$BK$6:$BM$11,3)*AI194*AJ194, D191 = "Tristal", VLOOKUP($BK$14,$BK$16:$BM$24,3)*AI194*AJ194, 1=1, VLOOKUP(AO194,$AX$75:$AZ$174,3)*AI194*AJ194)</f>
        <v/>
      </c>
      <c r="F191" t="str" cm="1">
        <f t="array" aca="1" ref="F191" ca="1">IF(D191="","",_xlfn.IFS(AH194&gt;5,"Normal",AND(AH194&lt;=5,$BK$28&lt;=4),VLOOKUP(AF194,$BK$29:$BN$39,2),AND(AH194&lt;=5,$BK$28&gt;=9),VLOOKUP(AF194,$BK$29:$BN$39,2), 1=1, "Normal"))</f>
        <v/>
      </c>
      <c r="G191" t="str" cm="1">
        <f t="array" aca="1" ref="G191" ca="1">IF(D191="","",_xlfn.IFS(AH194&gt;5, "Normal", AND(AH194&lt;=5, $BL$28&lt;=8, $BL$28&gt;=5), VLOOKUP(AG194,$BK$29:$BN$39,3), AND(AH194&lt;=5,$BK$28&gt;=9), VLOOKUP(AG194,$BK$29:$BN$39,3), 1=1, "Normal"))</f>
        <v/>
      </c>
      <c r="H191" t="str">
        <f t="shared" ca="1" si="44"/>
        <v/>
      </c>
      <c r="I191" t="str">
        <f t="shared" ca="1" si="45"/>
        <v/>
      </c>
      <c r="K191" t="str" cm="1">
        <f t="array" aca="1" ref="K191" ca="1">IF(L191="","",(_xlfn.IFS(L191&gt;=15000,VLOOKUP(AW194,$BE$5:$BH$15,4),L191&gt;=4000,VLOOKUP(AW194,$BE$5:$BH$15,3),L191&gt;=100,VLOOKUP(AW194,$BE$5:$BH$15,2))))</f>
        <v/>
      </c>
      <c r="L191" t="str">
        <f t="shared" ca="1" si="46"/>
        <v/>
      </c>
      <c r="AF191" s="1">
        <f t="shared" ca="1" si="50"/>
        <v>1</v>
      </c>
      <c r="AG191" s="1">
        <f t="shared" ca="1" si="50"/>
        <v>10</v>
      </c>
      <c r="AH191" s="1"/>
      <c r="AI191" s="1">
        <f t="shared" ca="1" si="48"/>
        <v>0.125</v>
      </c>
      <c r="AJ191" s="1">
        <f t="shared" ca="1" si="49"/>
        <v>8</v>
      </c>
      <c r="AO191" s="1">
        <f t="shared" ca="1" si="52"/>
        <v>65</v>
      </c>
      <c r="AP191" s="1">
        <f t="shared" ca="1" si="53"/>
        <v>-115</v>
      </c>
      <c r="AS191" s="1">
        <f t="shared" ca="1" si="54"/>
        <v>96</v>
      </c>
      <c r="AV191" s="1">
        <f t="shared" ca="1" si="55"/>
        <v>-172</v>
      </c>
      <c r="AW191" s="1">
        <f t="shared" ca="1" si="56"/>
        <v>8</v>
      </c>
      <c r="AX191">
        <v>15</v>
      </c>
      <c r="AY191">
        <v>2000</v>
      </c>
    </row>
    <row r="192" spans="4:51" x14ac:dyDescent="0.3">
      <c r="D192" t="str">
        <f t="shared" ca="1" si="47"/>
        <v/>
      </c>
      <c r="E192" t="str" cm="1">
        <f t="array" aca="1" ref="E192" ca="1">_xlfn.IFS(D192="","",D192="Starstone", VLOOKUP($BK$4,$BK$6:$BM$11,3)*AI195*AJ195, D192 = "Tristal", VLOOKUP($BK$14,$BK$16:$BM$24,3)*AI195*AJ195, 1=1, VLOOKUP(AO195,$AX$75:$AZ$174,3)*AI195*AJ195)</f>
        <v/>
      </c>
      <c r="F192" t="str" cm="1">
        <f t="array" aca="1" ref="F192" ca="1">IF(D192="","",_xlfn.IFS(AH195&gt;5,"Normal",AND(AH195&lt;=5,$BK$28&lt;=4),VLOOKUP(AF195,$BK$29:$BN$39,2),AND(AH195&lt;=5,$BK$28&gt;=9),VLOOKUP(AF195,$BK$29:$BN$39,2), 1=1, "Normal"))</f>
        <v/>
      </c>
      <c r="G192" t="str" cm="1">
        <f t="array" aca="1" ref="G192" ca="1">IF(D192="","",_xlfn.IFS(AH195&gt;5, "Normal", AND(AH195&lt;=5, $BL$28&lt;=8, $BL$28&gt;=5), VLOOKUP(AG195,$BK$29:$BN$39,3), AND(AH195&lt;=5,$BK$28&gt;=9), VLOOKUP(AG195,$BK$29:$BN$39,3), 1=1, "Normal"))</f>
        <v/>
      </c>
      <c r="H192" t="str">
        <f t="shared" ca="1" si="44"/>
        <v/>
      </c>
      <c r="I192" t="str">
        <f t="shared" ca="1" si="45"/>
        <v/>
      </c>
      <c r="K192" t="str" cm="1">
        <f t="array" aca="1" ref="K192" ca="1">IF(L192="","",(_xlfn.IFS(L192&gt;=15000,VLOOKUP(AW195,$BE$5:$BH$15,4),L192&gt;=4000,VLOOKUP(AW195,$BE$5:$BH$15,3),L192&gt;=100,VLOOKUP(AW195,$BE$5:$BH$15,2))))</f>
        <v/>
      </c>
      <c r="L192" t="str">
        <f t="shared" ca="1" si="46"/>
        <v/>
      </c>
      <c r="AF192" s="1">
        <f t="shared" ca="1" si="50"/>
        <v>10</v>
      </c>
      <c r="AG192" s="1">
        <f t="shared" ca="1" si="50"/>
        <v>10</v>
      </c>
      <c r="AH192" s="1"/>
      <c r="AI192" s="1">
        <f t="shared" ca="1" si="48"/>
        <v>8</v>
      </c>
      <c r="AJ192" s="1">
        <f t="shared" ca="1" si="49"/>
        <v>8</v>
      </c>
      <c r="AO192" s="1">
        <f t="shared" ca="1" si="52"/>
        <v>77</v>
      </c>
      <c r="AP192" s="1">
        <f t="shared" ca="1" si="53"/>
        <v>-116</v>
      </c>
      <c r="AS192" s="1">
        <f t="shared" ca="1" si="54"/>
        <v>14</v>
      </c>
      <c r="AV192" s="1">
        <f t="shared" ca="1" si="55"/>
        <v>-173</v>
      </c>
      <c r="AW192" s="1">
        <f t="shared" ca="1" si="56"/>
        <v>5</v>
      </c>
      <c r="AX192">
        <v>16</v>
      </c>
      <c r="AY192">
        <v>2000</v>
      </c>
    </row>
    <row r="193" spans="4:51" x14ac:dyDescent="0.3">
      <c r="D193" t="str">
        <f t="shared" ca="1" si="47"/>
        <v/>
      </c>
      <c r="E193" t="str" cm="1">
        <f t="array" aca="1" ref="E193" ca="1">_xlfn.IFS(D193="","",D193="Starstone", VLOOKUP($BK$4,$BK$6:$BM$11,3)*AI196*AJ196, D193 = "Tristal", VLOOKUP($BK$14,$BK$16:$BM$24,3)*AI196*AJ196, 1=1, VLOOKUP(AO196,$AX$75:$AZ$174,3)*AI196*AJ196)</f>
        <v/>
      </c>
      <c r="F193" t="str" cm="1">
        <f t="array" aca="1" ref="F193" ca="1">IF(D193="","",_xlfn.IFS(AH196&gt;5,"Normal",AND(AH196&lt;=5,$BK$28&lt;=4),VLOOKUP(AF196,$BK$29:$BN$39,2),AND(AH196&lt;=5,$BK$28&gt;=9),VLOOKUP(AF196,$BK$29:$BN$39,2), 1=1, "Normal"))</f>
        <v/>
      </c>
      <c r="G193" t="str" cm="1">
        <f t="array" aca="1" ref="G193" ca="1">IF(D193="","",_xlfn.IFS(AH196&gt;5, "Normal", AND(AH196&lt;=5, $BL$28&lt;=8, $BL$28&gt;=5), VLOOKUP(AG196,$BK$29:$BN$39,3), AND(AH196&lt;=5,$BK$28&gt;=9), VLOOKUP(AG196,$BK$29:$BN$39,3), 1=1, "Normal"))</f>
        <v/>
      </c>
      <c r="H193" t="str">
        <f t="shared" ca="1" si="44"/>
        <v/>
      </c>
      <c r="I193" t="str">
        <f t="shared" ca="1" si="45"/>
        <v/>
      </c>
      <c r="K193" t="str" cm="1">
        <f t="array" aca="1" ref="K193" ca="1">IF(L193="","",(_xlfn.IFS(L193&gt;=15000,VLOOKUP(AW196,$BE$5:$BH$15,4),L193&gt;=4000,VLOOKUP(AW196,$BE$5:$BH$15,3),L193&gt;=100,VLOOKUP(AW196,$BE$5:$BH$15,2))))</f>
        <v/>
      </c>
      <c r="L193" t="str">
        <f t="shared" ca="1" si="46"/>
        <v/>
      </c>
      <c r="AF193" s="1">
        <f t="shared" ca="1" si="50"/>
        <v>3</v>
      </c>
      <c r="AG193" s="1">
        <f t="shared" ca="1" si="50"/>
        <v>3</v>
      </c>
      <c r="AH193" s="1"/>
      <c r="AI193" s="1">
        <f t="shared" ca="1" si="48"/>
        <v>0.25</v>
      </c>
      <c r="AJ193" s="1">
        <f t="shared" ca="1" si="49"/>
        <v>0.25</v>
      </c>
      <c r="AO193" s="1">
        <f t="shared" ca="1" si="52"/>
        <v>86</v>
      </c>
      <c r="AP193" s="1">
        <f t="shared" ca="1" si="53"/>
        <v>-117</v>
      </c>
      <c r="AS193" s="1">
        <f t="shared" ca="1" si="54"/>
        <v>9</v>
      </c>
      <c r="AV193" s="1">
        <f t="shared" ca="1" si="55"/>
        <v>-174</v>
      </c>
      <c r="AW193" s="1">
        <f t="shared" ca="1" si="56"/>
        <v>1</v>
      </c>
      <c r="AX193">
        <v>17</v>
      </c>
      <c r="AY193">
        <v>2500</v>
      </c>
    </row>
    <row r="194" spans="4:51" x14ac:dyDescent="0.3">
      <c r="D194" t="str">
        <f t="shared" ca="1" si="47"/>
        <v/>
      </c>
      <c r="E194" t="str" cm="1">
        <f t="array" aca="1" ref="E194" ca="1">_xlfn.IFS(D194="","",D194="Starstone", VLOOKUP($BK$4,$BK$6:$BM$11,3)*AI197*AJ197, D194 = "Tristal", VLOOKUP($BK$14,$BK$16:$BM$24,3)*AI197*AJ197, 1=1, VLOOKUP(AO197,$AX$75:$AZ$174,3)*AI197*AJ197)</f>
        <v/>
      </c>
      <c r="F194" t="str" cm="1">
        <f t="array" aca="1" ref="F194" ca="1">IF(D194="","",_xlfn.IFS(AH197&gt;5,"Normal",AND(AH197&lt;=5,$BK$28&lt;=4),VLOOKUP(AF197,$BK$29:$BN$39,2),AND(AH197&lt;=5,$BK$28&gt;=9),VLOOKUP(AF197,$BK$29:$BN$39,2), 1=1, "Normal"))</f>
        <v/>
      </c>
      <c r="G194" t="str" cm="1">
        <f t="array" aca="1" ref="G194" ca="1">IF(D194="","",_xlfn.IFS(AH197&gt;5, "Normal", AND(AH197&lt;=5, $BL$28&lt;=8, $BL$28&gt;=5), VLOOKUP(AG197,$BK$29:$BN$39,3), AND(AH197&lt;=5,$BK$28&gt;=9), VLOOKUP(AG197,$BK$29:$BN$39,3), 1=1, "Normal"))</f>
        <v/>
      </c>
      <c r="H194" t="str">
        <f t="shared" ca="1" si="44"/>
        <v/>
      </c>
      <c r="I194" t="str">
        <f t="shared" ca="1" si="45"/>
        <v/>
      </c>
      <c r="K194" t="str" cm="1">
        <f t="array" aca="1" ref="K194" ca="1">IF(L194="","",(_xlfn.IFS(L194&gt;=15000,VLOOKUP(AW197,$BE$5:$BH$15,4),L194&gt;=4000,VLOOKUP(AW197,$BE$5:$BH$15,3),L194&gt;=100,VLOOKUP(AW197,$BE$5:$BH$15,2))))</f>
        <v/>
      </c>
      <c r="L194" t="str">
        <f t="shared" ca="1" si="46"/>
        <v/>
      </c>
      <c r="AF194" s="1">
        <f t="shared" ca="1" si="50"/>
        <v>4</v>
      </c>
      <c r="AG194" s="1">
        <f t="shared" ca="1" si="50"/>
        <v>8</v>
      </c>
      <c r="AH194" s="1"/>
      <c r="AI194" s="1">
        <f t="shared" ca="1" si="48"/>
        <v>0.5</v>
      </c>
      <c r="AJ194" s="1">
        <f t="shared" ca="1" si="49"/>
        <v>4</v>
      </c>
      <c r="AO194" s="1">
        <f t="shared" ca="1" si="52"/>
        <v>46</v>
      </c>
      <c r="AP194" s="1">
        <f t="shared" ca="1" si="53"/>
        <v>-118</v>
      </c>
      <c r="AS194" s="1">
        <f t="shared" ca="1" si="54"/>
        <v>69</v>
      </c>
      <c r="AV194" s="1">
        <f t="shared" ca="1" si="55"/>
        <v>-175</v>
      </c>
      <c r="AW194" s="1">
        <f t="shared" ca="1" si="56"/>
        <v>5</v>
      </c>
      <c r="AX194">
        <v>18</v>
      </c>
      <c r="AY194">
        <v>2500</v>
      </c>
    </row>
    <row r="195" spans="4:51" x14ac:dyDescent="0.3">
      <c r="D195" t="str">
        <f t="shared" ca="1" si="47"/>
        <v/>
      </c>
      <c r="E195" t="str" cm="1">
        <f t="array" aca="1" ref="E195" ca="1">_xlfn.IFS(D195="","",D195="Starstone", VLOOKUP($BK$4,$BK$6:$BM$11,3)*AI198*AJ198, D195 = "Tristal", VLOOKUP($BK$14,$BK$16:$BM$24,3)*AI198*AJ198, 1=1, VLOOKUP(AO198,$AX$75:$AZ$174,3)*AI198*AJ198)</f>
        <v/>
      </c>
      <c r="F195" t="str" cm="1">
        <f t="array" aca="1" ref="F195" ca="1">IF(D195="","",_xlfn.IFS(AH198&gt;5,"Normal",AND(AH198&lt;=5,$BK$28&lt;=4),VLOOKUP(AF198,$BK$29:$BN$39,2),AND(AH198&lt;=5,$BK$28&gt;=9),VLOOKUP(AF198,$BK$29:$BN$39,2), 1=1, "Normal"))</f>
        <v/>
      </c>
      <c r="G195" t="str" cm="1">
        <f t="array" aca="1" ref="G195" ca="1">IF(D195="","",_xlfn.IFS(AH198&gt;5, "Normal", AND(AH198&lt;=5, $BL$28&lt;=8, $BL$28&gt;=5), VLOOKUP(AG198,$BK$29:$BN$39,3), AND(AH198&lt;=5,$BK$28&gt;=9), VLOOKUP(AG198,$BK$29:$BN$39,3), 1=1, "Normal"))</f>
        <v/>
      </c>
      <c r="H195" t="str">
        <f t="shared" ca="1" si="44"/>
        <v/>
      </c>
      <c r="I195" t="str">
        <f t="shared" ca="1" si="45"/>
        <v/>
      </c>
      <c r="K195" t="str" cm="1">
        <f t="array" aca="1" ref="K195" ca="1">IF(L195="","",(_xlfn.IFS(L195&gt;=15000,VLOOKUP(AW198,$BE$5:$BH$15,4),L195&gt;=4000,VLOOKUP(AW198,$BE$5:$BH$15,3),L195&gt;=100,VLOOKUP(AW198,$BE$5:$BH$15,2))))</f>
        <v/>
      </c>
      <c r="L195" t="str">
        <f t="shared" ca="1" si="46"/>
        <v/>
      </c>
      <c r="AF195" s="1">
        <f t="shared" ca="1" si="50"/>
        <v>6</v>
      </c>
      <c r="AG195" s="1">
        <f t="shared" ca="1" si="50"/>
        <v>9</v>
      </c>
      <c r="AH195" s="1"/>
      <c r="AI195" s="1">
        <f t="shared" ca="1" si="48"/>
        <v>2</v>
      </c>
      <c r="AJ195" s="1">
        <f t="shared" ca="1" si="49"/>
        <v>4</v>
      </c>
      <c r="AO195" s="1">
        <f t="shared" ca="1" si="52"/>
        <v>12</v>
      </c>
      <c r="AP195" s="1">
        <f t="shared" ca="1" si="53"/>
        <v>-119</v>
      </c>
      <c r="AS195" s="1">
        <f t="shared" ca="1" si="54"/>
        <v>97</v>
      </c>
      <c r="AV195" s="1">
        <f t="shared" ca="1" si="55"/>
        <v>-176</v>
      </c>
      <c r="AW195" s="1">
        <f t="shared" ca="1" si="56"/>
        <v>7</v>
      </c>
      <c r="AX195">
        <v>19</v>
      </c>
      <c r="AY195">
        <v>2500</v>
      </c>
    </row>
    <row r="196" spans="4:51" x14ac:dyDescent="0.3">
      <c r="D196" t="str">
        <f t="shared" ca="1" si="47"/>
        <v/>
      </c>
      <c r="E196" t="str" cm="1">
        <f t="array" aca="1" ref="E196" ca="1">_xlfn.IFS(D196="","",D196="Starstone", VLOOKUP($BK$4,$BK$6:$BM$11,3)*AI199*AJ199, D196 = "Tristal", VLOOKUP($BK$14,$BK$16:$BM$24,3)*AI199*AJ199, 1=1, VLOOKUP(AO199,$AX$75:$AZ$174,3)*AI199*AJ199)</f>
        <v/>
      </c>
      <c r="F196" t="str" cm="1">
        <f t="array" aca="1" ref="F196" ca="1">IF(D196="","",_xlfn.IFS(AH199&gt;5,"Normal",AND(AH199&lt;=5,$BK$28&lt;=4),VLOOKUP(AF199,$BK$29:$BN$39,2),AND(AH199&lt;=5,$BK$28&gt;=9),VLOOKUP(AF199,$BK$29:$BN$39,2), 1=1, "Normal"))</f>
        <v/>
      </c>
      <c r="G196" t="str" cm="1">
        <f t="array" aca="1" ref="G196" ca="1">IF(D196="","",_xlfn.IFS(AH199&gt;5, "Normal", AND(AH199&lt;=5, $BL$28&lt;=8, $BL$28&gt;=5), VLOOKUP(AG199,$BK$29:$BN$39,3), AND(AH199&lt;=5,$BK$28&gt;=9), VLOOKUP(AG199,$BK$29:$BN$39,3), 1=1, "Normal"))</f>
        <v/>
      </c>
      <c r="H196" t="str">
        <f t="shared" ca="1" si="44"/>
        <v/>
      </c>
      <c r="I196" t="str">
        <f t="shared" ca="1" si="45"/>
        <v/>
      </c>
      <c r="K196" t="str" cm="1">
        <f t="array" aca="1" ref="K196" ca="1">IF(L196="","",(_xlfn.IFS(L196&gt;=15000,VLOOKUP(AW199,$BE$5:$BH$15,4),L196&gt;=4000,VLOOKUP(AW199,$BE$5:$BH$15,3),L196&gt;=100,VLOOKUP(AW199,$BE$5:$BH$15,2))))</f>
        <v/>
      </c>
      <c r="L196" t="str">
        <f t="shared" ca="1" si="46"/>
        <v/>
      </c>
      <c r="AF196" s="1">
        <f t="shared" ca="1" si="50"/>
        <v>9</v>
      </c>
      <c r="AG196" s="1">
        <f t="shared" ca="1" si="50"/>
        <v>3</v>
      </c>
      <c r="AH196" s="1"/>
      <c r="AI196" s="1">
        <f t="shared" ca="1" si="48"/>
        <v>4</v>
      </c>
      <c r="AJ196" s="1">
        <f t="shared" ca="1" si="49"/>
        <v>0.25</v>
      </c>
      <c r="AO196" s="1">
        <f t="shared" ca="1" si="52"/>
        <v>55</v>
      </c>
      <c r="AP196" s="1">
        <f t="shared" ca="1" si="53"/>
        <v>-120</v>
      </c>
      <c r="AS196" s="1">
        <f t="shared" ca="1" si="54"/>
        <v>38</v>
      </c>
      <c r="AV196" s="1">
        <f t="shared" ca="1" si="55"/>
        <v>-177</v>
      </c>
      <c r="AW196" s="1">
        <f t="shared" ca="1" si="56"/>
        <v>1</v>
      </c>
      <c r="AX196">
        <v>20</v>
      </c>
      <c r="AY196">
        <v>2500</v>
      </c>
    </row>
    <row r="197" spans="4:51" x14ac:dyDescent="0.3">
      <c r="D197" t="str">
        <f t="shared" ca="1" si="47"/>
        <v/>
      </c>
      <c r="E197" t="str" cm="1">
        <f t="array" aca="1" ref="E197" ca="1">_xlfn.IFS(D197="","",D197="Starstone", VLOOKUP($BK$4,$BK$6:$BM$11,3)*AI200*AJ200, D197 = "Tristal", VLOOKUP($BK$14,$BK$16:$BM$24,3)*AI200*AJ200, 1=1, VLOOKUP(AO200,$AX$75:$AZ$174,3)*AI200*AJ200)</f>
        <v/>
      </c>
      <c r="F197" t="str" cm="1">
        <f t="array" aca="1" ref="F197" ca="1">IF(D197="","",_xlfn.IFS(AH200&gt;5,"Normal",AND(AH200&lt;=5,$BK$28&lt;=4),VLOOKUP(AF200,$BK$29:$BN$39,2),AND(AH200&lt;=5,$BK$28&gt;=9),VLOOKUP(AF200,$BK$29:$BN$39,2), 1=1, "Normal"))</f>
        <v/>
      </c>
      <c r="G197" t="str" cm="1">
        <f t="array" aca="1" ref="G197" ca="1">IF(D197="","",_xlfn.IFS(AH200&gt;5, "Normal", AND(AH200&lt;=5, $BL$28&lt;=8, $BL$28&gt;=5), VLOOKUP(AG200,$BK$29:$BN$39,3), AND(AH200&lt;=5,$BK$28&gt;=9), VLOOKUP(AG200,$BK$29:$BN$39,3), 1=1, "Normal"))</f>
        <v/>
      </c>
      <c r="H197" t="str">
        <f t="shared" ca="1" si="44"/>
        <v/>
      </c>
      <c r="I197" t="str">
        <f t="shared" ca="1" si="45"/>
        <v/>
      </c>
      <c r="K197" t="str" cm="1">
        <f t="array" aca="1" ref="K197" ca="1">IF(L197="","",(_xlfn.IFS(L197&gt;=15000,VLOOKUP(AW200,$BE$5:$BH$15,4),L197&gt;=4000,VLOOKUP(AW200,$BE$5:$BH$15,3),L197&gt;=100,VLOOKUP(AW200,$BE$5:$BH$15,2))))</f>
        <v/>
      </c>
      <c r="L197" t="str">
        <f t="shared" ca="1" si="46"/>
        <v/>
      </c>
      <c r="AF197" s="1">
        <f t="shared" ca="1" si="50"/>
        <v>5</v>
      </c>
      <c r="AG197" s="1">
        <f t="shared" ca="1" si="50"/>
        <v>6</v>
      </c>
      <c r="AH197" s="1"/>
      <c r="AI197" s="1">
        <f t="shared" ca="1" si="48"/>
        <v>0.5</v>
      </c>
      <c r="AJ197" s="1">
        <f t="shared" ca="1" si="49"/>
        <v>2</v>
      </c>
      <c r="AO197" s="1">
        <f t="shared" ca="1" si="52"/>
        <v>86</v>
      </c>
      <c r="AP197" s="1">
        <f t="shared" ca="1" si="53"/>
        <v>-121</v>
      </c>
      <c r="AS197" s="1">
        <f t="shared" ca="1" si="54"/>
        <v>100</v>
      </c>
      <c r="AV197" s="1">
        <f t="shared" ca="1" si="55"/>
        <v>-178</v>
      </c>
      <c r="AW197" s="1">
        <f t="shared" ca="1" si="56"/>
        <v>1</v>
      </c>
      <c r="AX197">
        <v>21</v>
      </c>
      <c r="AY197">
        <v>2500</v>
      </c>
    </row>
    <row r="198" spans="4:51" x14ac:dyDescent="0.3">
      <c r="D198" t="str">
        <f t="shared" ca="1" si="47"/>
        <v/>
      </c>
      <c r="E198" t="str" cm="1">
        <f t="array" aca="1" ref="E198" ca="1">_xlfn.IFS(D198="","",D198="Starstone", VLOOKUP($BK$4,$BK$6:$BM$11,3)*AI201*AJ201, D198 = "Tristal", VLOOKUP($BK$14,$BK$16:$BM$24,3)*AI201*AJ201, 1=1, VLOOKUP(AO201,$AX$75:$AZ$174,3)*AI201*AJ201)</f>
        <v/>
      </c>
      <c r="F198" t="str" cm="1">
        <f t="array" aca="1" ref="F198" ca="1">IF(D198="","",_xlfn.IFS(AH201&gt;5,"Normal",AND(AH201&lt;=5,$BK$28&lt;=4),VLOOKUP(AF201,$BK$29:$BN$39,2),AND(AH201&lt;=5,$BK$28&gt;=9),VLOOKUP(AF201,$BK$29:$BN$39,2), 1=1, "Normal"))</f>
        <v/>
      </c>
      <c r="G198" t="str" cm="1">
        <f t="array" aca="1" ref="G198" ca="1">IF(D198="","",_xlfn.IFS(AH201&gt;5, "Normal", AND(AH201&lt;=5, $BL$28&lt;=8, $BL$28&gt;=5), VLOOKUP(AG201,$BK$29:$BN$39,3), AND(AH201&lt;=5,$BK$28&gt;=9), VLOOKUP(AG201,$BK$29:$BN$39,3), 1=1, "Normal"))</f>
        <v/>
      </c>
      <c r="H198" t="str">
        <f t="shared" ca="1" si="44"/>
        <v/>
      </c>
      <c r="I198" t="str">
        <f t="shared" ca="1" si="45"/>
        <v/>
      </c>
      <c r="K198" t="str" cm="1">
        <f t="array" aca="1" ref="K198" ca="1">IF(L198="","",(_xlfn.IFS(L198&gt;=15000,VLOOKUP(AW201,$BE$5:$BH$15,4),L198&gt;=4000,VLOOKUP(AW201,$BE$5:$BH$15,3),L198&gt;=100,VLOOKUP(AW201,$BE$5:$BH$15,2))))</f>
        <v/>
      </c>
      <c r="L198" t="str">
        <f t="shared" ca="1" si="46"/>
        <v/>
      </c>
      <c r="AF198" s="1">
        <f t="shared" ca="1" si="50"/>
        <v>9</v>
      </c>
      <c r="AG198" s="1">
        <f t="shared" ca="1" si="50"/>
        <v>6</v>
      </c>
      <c r="AH198" s="1"/>
      <c r="AI198" s="1">
        <f t="shared" ca="1" si="48"/>
        <v>4</v>
      </c>
      <c r="AJ198" s="1">
        <f t="shared" ca="1" si="49"/>
        <v>2</v>
      </c>
      <c r="AO198" s="1">
        <f t="shared" ca="1" si="52"/>
        <v>44</v>
      </c>
      <c r="AP198" s="1">
        <f t="shared" ca="1" si="53"/>
        <v>-122</v>
      </c>
      <c r="AS198" s="1">
        <f t="shared" ca="1" si="54"/>
        <v>6</v>
      </c>
      <c r="AV198" s="1">
        <f t="shared" ca="1" si="55"/>
        <v>-179</v>
      </c>
      <c r="AW198" s="1">
        <f t="shared" ca="1" si="56"/>
        <v>8</v>
      </c>
      <c r="AX198">
        <v>22</v>
      </c>
      <c r="AY198">
        <v>2500</v>
      </c>
    </row>
    <row r="199" spans="4:51" x14ac:dyDescent="0.3">
      <c r="D199" t="str">
        <f t="shared" ca="1" si="47"/>
        <v/>
      </c>
      <c r="E199" t="str" cm="1">
        <f t="array" aca="1" ref="E199" ca="1">_xlfn.IFS(D199="","",D199="Starstone", VLOOKUP($BK$4,$BK$6:$BM$11,3)*AI202*AJ202, D199 = "Tristal", VLOOKUP($BK$14,$BK$16:$BM$24,3)*AI202*AJ202, 1=1, VLOOKUP(AO202,$AX$75:$AZ$174,3)*AI202*AJ202)</f>
        <v/>
      </c>
      <c r="F199" t="str" cm="1">
        <f t="array" aca="1" ref="F199" ca="1">IF(D199="","",_xlfn.IFS(AH202&gt;5,"Normal",AND(AH202&lt;=5,$BK$28&lt;=4),VLOOKUP(AF202,$BK$29:$BN$39,2),AND(AH202&lt;=5,$BK$28&gt;=9),VLOOKUP(AF202,$BK$29:$BN$39,2), 1=1, "Normal"))</f>
        <v/>
      </c>
      <c r="G199" t="str" cm="1">
        <f t="array" aca="1" ref="G199" ca="1">IF(D199="","",_xlfn.IFS(AH202&gt;5, "Normal", AND(AH202&lt;=5, $BL$28&lt;=8, $BL$28&gt;=5), VLOOKUP(AG202,$BK$29:$BN$39,3), AND(AH202&lt;=5,$BK$28&gt;=9), VLOOKUP(AG202,$BK$29:$BN$39,3), 1=1, "Normal"))</f>
        <v/>
      </c>
      <c r="H199" t="str">
        <f t="shared" ref="H199:H262" ca="1" si="57">IF(D199 = "Tristal", VLOOKUP($BK$14,$BK$16:$BM$24,2), "")</f>
        <v/>
      </c>
      <c r="I199" t="str">
        <f t="shared" ref="I199:I262" ca="1" si="58">IF(D199="Starstone", VLOOKUP($BK$4,$BK$6:$BM$11,2), "")</f>
        <v/>
      </c>
      <c r="K199" t="str" cm="1">
        <f t="array" aca="1" ref="K199" ca="1">IF(L199="","",(_xlfn.IFS(L199&gt;=15000,VLOOKUP(AW202,$BE$5:$BH$15,4),L199&gt;=4000,VLOOKUP(AW202,$BE$5:$BH$15,3),L199&gt;=100,VLOOKUP(AW202,$BE$5:$BH$15,2))))</f>
        <v/>
      </c>
      <c r="L199" t="str">
        <f t="shared" ref="L199:L262" ca="1" si="59">IF(AV201&gt;0,VLOOKUP(AS202,$AX$177:$AY$276,2),"")</f>
        <v/>
      </c>
      <c r="AF199" s="1">
        <f t="shared" ca="1" si="50"/>
        <v>1</v>
      </c>
      <c r="AG199" s="1">
        <f t="shared" ca="1" si="50"/>
        <v>3</v>
      </c>
      <c r="AH199" s="1"/>
      <c r="AI199" s="1">
        <f t="shared" ca="1" si="48"/>
        <v>0.125</v>
      </c>
      <c r="AJ199" s="1">
        <f t="shared" ca="1" si="49"/>
        <v>0.25</v>
      </c>
      <c r="AO199" s="1">
        <f t="shared" ca="1" si="52"/>
        <v>18</v>
      </c>
      <c r="AP199" s="1">
        <f t="shared" ca="1" si="53"/>
        <v>-123</v>
      </c>
      <c r="AS199" s="1">
        <f t="shared" ca="1" si="54"/>
        <v>7</v>
      </c>
      <c r="AV199" s="1">
        <f t="shared" ca="1" si="55"/>
        <v>-180</v>
      </c>
      <c r="AW199" s="1">
        <f t="shared" ca="1" si="56"/>
        <v>6</v>
      </c>
      <c r="AX199">
        <v>23</v>
      </c>
      <c r="AY199">
        <v>2500</v>
      </c>
    </row>
    <row r="200" spans="4:51" x14ac:dyDescent="0.3">
      <c r="D200" t="str">
        <f t="shared" ref="D200:D263" ca="1" si="60">IF(AP203&gt;-1,VLOOKUP(AO203,$AX$75:$AZ$174,2),"")</f>
        <v/>
      </c>
      <c r="E200" t="str" cm="1">
        <f t="array" aca="1" ref="E200" ca="1">_xlfn.IFS(D200="","",D200="Starstone", VLOOKUP($BK$4,$BK$6:$BM$11,3)*AI203*AJ203, D200 = "Tristal", VLOOKUP($BK$14,$BK$16:$BM$24,3)*AI203*AJ203, 1=1, VLOOKUP(AO203,$AX$75:$AZ$174,3)*AI203*AJ203)</f>
        <v/>
      </c>
      <c r="F200" t="str" cm="1">
        <f t="array" aca="1" ref="F200" ca="1">IF(D200="","",_xlfn.IFS(AH203&gt;5,"Normal",AND(AH203&lt;=5,$BK$28&lt;=4),VLOOKUP(AF203,$BK$29:$BN$39,2),AND(AH203&lt;=5,$BK$28&gt;=9),VLOOKUP(AF203,$BK$29:$BN$39,2), 1=1, "Normal"))</f>
        <v/>
      </c>
      <c r="G200" t="str" cm="1">
        <f t="array" aca="1" ref="G200" ca="1">IF(D200="","",_xlfn.IFS(AH203&gt;5, "Normal", AND(AH203&lt;=5, $BL$28&lt;=8, $BL$28&gt;=5), VLOOKUP(AG203,$BK$29:$BN$39,3), AND(AH203&lt;=5,$BK$28&gt;=9), VLOOKUP(AG203,$BK$29:$BN$39,3), 1=1, "Normal"))</f>
        <v/>
      </c>
      <c r="H200" t="str">
        <f t="shared" ca="1" si="57"/>
        <v/>
      </c>
      <c r="I200" t="str">
        <f t="shared" ca="1" si="58"/>
        <v/>
      </c>
      <c r="K200" t="str" cm="1">
        <f t="array" aca="1" ref="K200" ca="1">IF(L200="","",(_xlfn.IFS(L200&gt;=15000,VLOOKUP(AW203,$BE$5:$BH$15,4),L200&gt;=4000,VLOOKUP(AW203,$BE$5:$BH$15,3),L200&gt;=100,VLOOKUP(AW203,$BE$5:$BH$15,2))))</f>
        <v/>
      </c>
      <c r="L200" t="str">
        <f t="shared" ca="1" si="59"/>
        <v/>
      </c>
      <c r="AF200" s="1">
        <f t="shared" ca="1" si="50"/>
        <v>2</v>
      </c>
      <c r="AG200" s="1">
        <f t="shared" ca="1" si="50"/>
        <v>2</v>
      </c>
      <c r="AH200" s="1"/>
      <c r="AI200" s="1">
        <f t="shared" ca="1" si="48"/>
        <v>0.25</v>
      </c>
      <c r="AJ200" s="1">
        <f t="shared" ca="1" si="49"/>
        <v>0.25</v>
      </c>
      <c r="AO200" s="1">
        <f t="shared" ca="1" si="52"/>
        <v>7</v>
      </c>
      <c r="AP200" s="1">
        <f t="shared" ca="1" si="53"/>
        <v>-124</v>
      </c>
      <c r="AS200" s="1">
        <f t="shared" ca="1" si="54"/>
        <v>24</v>
      </c>
      <c r="AV200" s="1">
        <f t="shared" ca="1" si="55"/>
        <v>-181</v>
      </c>
      <c r="AW200" s="1">
        <f t="shared" ca="1" si="56"/>
        <v>1</v>
      </c>
      <c r="AX200">
        <v>24</v>
      </c>
      <c r="AY200">
        <v>2500</v>
      </c>
    </row>
    <row r="201" spans="4:51" x14ac:dyDescent="0.3">
      <c r="D201" t="str">
        <f t="shared" ca="1" si="60"/>
        <v/>
      </c>
      <c r="E201" t="str" cm="1">
        <f t="array" aca="1" ref="E201" ca="1">_xlfn.IFS(D201="","",D201="Starstone", VLOOKUP($BK$4,$BK$6:$BM$11,3)*AI204*AJ204, D201 = "Tristal", VLOOKUP($BK$14,$BK$16:$BM$24,3)*AI204*AJ204, 1=1, VLOOKUP(AO204,$AX$75:$AZ$174,3)*AI204*AJ204)</f>
        <v/>
      </c>
      <c r="F201" t="str" cm="1">
        <f t="array" aca="1" ref="F201" ca="1">IF(D201="","",_xlfn.IFS(AH204&gt;5,"Normal",AND(AH204&lt;=5,$BK$28&lt;=4),VLOOKUP(AF204,$BK$29:$BN$39,2),AND(AH204&lt;=5,$BK$28&gt;=9),VLOOKUP(AF204,$BK$29:$BN$39,2), 1=1, "Normal"))</f>
        <v/>
      </c>
      <c r="G201" t="str" cm="1">
        <f t="array" aca="1" ref="G201" ca="1">IF(D201="","",_xlfn.IFS(AH204&gt;5, "Normal", AND(AH204&lt;=5, $BL$28&lt;=8, $BL$28&gt;=5), VLOOKUP(AG204,$BK$29:$BN$39,3), AND(AH204&lt;=5,$BK$28&gt;=9), VLOOKUP(AG204,$BK$29:$BN$39,3), 1=1, "Normal"))</f>
        <v/>
      </c>
      <c r="H201" t="str">
        <f t="shared" ca="1" si="57"/>
        <v/>
      </c>
      <c r="I201" t="str">
        <f t="shared" ca="1" si="58"/>
        <v/>
      </c>
      <c r="K201" t="str" cm="1">
        <f t="array" aca="1" ref="K201" ca="1">IF(L201="","",(_xlfn.IFS(L201&gt;=15000,VLOOKUP(AW204,$BE$5:$BH$15,4),L201&gt;=4000,VLOOKUP(AW204,$BE$5:$BH$15,3),L201&gt;=100,VLOOKUP(AW204,$BE$5:$BH$15,2))))</f>
        <v/>
      </c>
      <c r="L201" t="str">
        <f t="shared" ca="1" si="59"/>
        <v/>
      </c>
      <c r="AF201" s="1">
        <f t="shared" ca="1" si="50"/>
        <v>8</v>
      </c>
      <c r="AG201" s="1">
        <f t="shared" ca="1" si="50"/>
        <v>5</v>
      </c>
      <c r="AH201" s="1"/>
      <c r="AI201" s="1">
        <f t="shared" ca="1" si="48"/>
        <v>4</v>
      </c>
      <c r="AJ201" s="1">
        <f t="shared" ca="1" si="49"/>
        <v>0.5</v>
      </c>
      <c r="AO201" s="1">
        <f t="shared" ca="1" si="52"/>
        <v>16</v>
      </c>
      <c r="AP201" s="1">
        <f t="shared" ca="1" si="53"/>
        <v>-125</v>
      </c>
      <c r="AS201" s="1">
        <f t="shared" ca="1" si="54"/>
        <v>63</v>
      </c>
      <c r="AV201" s="1">
        <f t="shared" ca="1" si="55"/>
        <v>-182</v>
      </c>
      <c r="AW201" s="1">
        <f t="shared" ca="1" si="56"/>
        <v>2</v>
      </c>
      <c r="AX201">
        <v>25</v>
      </c>
      <c r="AY201">
        <v>3000</v>
      </c>
    </row>
    <row r="202" spans="4:51" x14ac:dyDescent="0.3">
      <c r="D202" t="str">
        <f t="shared" ca="1" si="60"/>
        <v/>
      </c>
      <c r="E202" t="str" cm="1">
        <f t="array" aca="1" ref="E202" ca="1">_xlfn.IFS(D202="","",D202="Starstone", VLOOKUP($BK$4,$BK$6:$BM$11,3)*AI205*AJ205, D202 = "Tristal", VLOOKUP($BK$14,$BK$16:$BM$24,3)*AI205*AJ205, 1=1, VLOOKUP(AO205,$AX$75:$AZ$174,3)*AI205*AJ205)</f>
        <v/>
      </c>
      <c r="F202" t="str" cm="1">
        <f t="array" aca="1" ref="F202" ca="1">IF(D202="","",_xlfn.IFS(AH205&gt;5,"Normal",AND(AH205&lt;=5,$BK$28&lt;=4),VLOOKUP(AF205,$BK$29:$BN$39,2),AND(AH205&lt;=5,$BK$28&gt;=9),VLOOKUP(AF205,$BK$29:$BN$39,2), 1=1, "Normal"))</f>
        <v/>
      </c>
      <c r="G202" t="str" cm="1">
        <f t="array" aca="1" ref="G202" ca="1">IF(D202="","",_xlfn.IFS(AH205&gt;5, "Normal", AND(AH205&lt;=5, $BL$28&lt;=8, $BL$28&gt;=5), VLOOKUP(AG205,$BK$29:$BN$39,3), AND(AH205&lt;=5,$BK$28&gt;=9), VLOOKUP(AG205,$BK$29:$BN$39,3), 1=1, "Normal"))</f>
        <v/>
      </c>
      <c r="H202" t="str">
        <f t="shared" ca="1" si="57"/>
        <v/>
      </c>
      <c r="I202" t="str">
        <f t="shared" ca="1" si="58"/>
        <v/>
      </c>
      <c r="K202" t="str" cm="1">
        <f t="array" aca="1" ref="K202" ca="1">IF(L202="","",(_xlfn.IFS(L202&gt;=15000,VLOOKUP(AW205,$BE$5:$BH$15,4),L202&gt;=4000,VLOOKUP(AW205,$BE$5:$BH$15,3),L202&gt;=100,VLOOKUP(AW205,$BE$5:$BH$15,2))))</f>
        <v/>
      </c>
      <c r="L202" t="str">
        <f t="shared" ca="1" si="59"/>
        <v/>
      </c>
      <c r="AF202" s="1">
        <f t="shared" ca="1" si="50"/>
        <v>4</v>
      </c>
      <c r="AG202" s="1">
        <f t="shared" ca="1" si="50"/>
        <v>4</v>
      </c>
      <c r="AH202" s="1"/>
      <c r="AI202" s="1">
        <f t="shared" ref="AI202:AI265" ca="1" si="61">IF(F199="Normal",1,VLOOKUP(AF202,$BK$29:$BN$39,4))</f>
        <v>0.5</v>
      </c>
      <c r="AJ202" s="1">
        <f t="shared" ref="AJ202:AJ265" ca="1" si="62">IF(G199="Normal",1,VLOOKUP(AG202,$BK$29:$BN$39,4))</f>
        <v>0.5</v>
      </c>
      <c r="AO202" s="1">
        <f t="shared" ca="1" si="52"/>
        <v>69</v>
      </c>
      <c r="AP202" s="1">
        <f t="shared" ca="1" si="53"/>
        <v>-126</v>
      </c>
      <c r="AS202" s="1">
        <f t="shared" ca="1" si="54"/>
        <v>9</v>
      </c>
      <c r="AV202" s="1">
        <f t="shared" ca="1" si="55"/>
        <v>-183</v>
      </c>
      <c r="AW202" s="1">
        <f t="shared" ca="1" si="56"/>
        <v>9</v>
      </c>
      <c r="AX202">
        <v>26</v>
      </c>
      <c r="AY202">
        <v>3000</v>
      </c>
    </row>
    <row r="203" spans="4:51" x14ac:dyDescent="0.3">
      <c r="D203" t="str">
        <f t="shared" ca="1" si="60"/>
        <v/>
      </c>
      <c r="E203" t="str" cm="1">
        <f t="array" aca="1" ref="E203" ca="1">_xlfn.IFS(D203="","",D203="Starstone", VLOOKUP($BK$4,$BK$6:$BM$11,3)*AI206*AJ206, D203 = "Tristal", VLOOKUP($BK$14,$BK$16:$BM$24,3)*AI206*AJ206, 1=1, VLOOKUP(AO206,$AX$75:$AZ$174,3)*AI206*AJ206)</f>
        <v/>
      </c>
      <c r="F203" t="str" cm="1">
        <f t="array" aca="1" ref="F203" ca="1">IF(D203="","",_xlfn.IFS(AH206&gt;5,"Normal",AND(AH206&lt;=5,$BK$28&lt;=4),VLOOKUP(AF206,$BK$29:$BN$39,2),AND(AH206&lt;=5,$BK$28&gt;=9),VLOOKUP(AF206,$BK$29:$BN$39,2), 1=1, "Normal"))</f>
        <v/>
      </c>
      <c r="G203" t="str" cm="1">
        <f t="array" aca="1" ref="G203" ca="1">IF(D203="","",_xlfn.IFS(AH206&gt;5, "Normal", AND(AH206&lt;=5, $BL$28&lt;=8, $BL$28&gt;=5), VLOOKUP(AG206,$BK$29:$BN$39,3), AND(AH206&lt;=5,$BK$28&gt;=9), VLOOKUP(AG206,$BK$29:$BN$39,3), 1=1, "Normal"))</f>
        <v/>
      </c>
      <c r="H203" t="str">
        <f t="shared" ca="1" si="57"/>
        <v/>
      </c>
      <c r="I203" t="str">
        <f t="shared" ca="1" si="58"/>
        <v/>
      </c>
      <c r="K203" t="str" cm="1">
        <f t="array" aca="1" ref="K203" ca="1">IF(L203="","",(_xlfn.IFS(L203&gt;=15000,VLOOKUP(AW206,$BE$5:$BH$15,4),L203&gt;=4000,VLOOKUP(AW206,$BE$5:$BH$15,3),L203&gt;=100,VLOOKUP(AW206,$BE$5:$BH$15,2))))</f>
        <v/>
      </c>
      <c r="L203" t="str">
        <f t="shared" ca="1" si="59"/>
        <v/>
      </c>
      <c r="AF203" s="1">
        <f t="shared" ref="AF203:AG266" ca="1" si="63">RANDBETWEEN(1,10)</f>
        <v>6</v>
      </c>
      <c r="AG203" s="1">
        <f t="shared" ca="1" si="63"/>
        <v>3</v>
      </c>
      <c r="AH203" s="1"/>
      <c r="AI203" s="1">
        <f t="shared" ca="1" si="61"/>
        <v>2</v>
      </c>
      <c r="AJ203" s="1">
        <f t="shared" ca="1" si="62"/>
        <v>0.25</v>
      </c>
      <c r="AO203" s="1">
        <f t="shared" ref="AO203:AO266" ca="1" si="64">RANDBETWEEN(1,100)</f>
        <v>28</v>
      </c>
      <c r="AP203" s="1">
        <f t="shared" ref="AP203:AP266" ca="1" si="65">AP202-1</f>
        <v>-127</v>
      </c>
      <c r="AS203" s="1">
        <f t="shared" ref="AS203:AS266" ca="1" si="66">RANDBETWEEN(1,100)</f>
        <v>13</v>
      </c>
      <c r="AV203" s="1">
        <f t="shared" ref="AV203:AV266" ca="1" si="67">AV202-1</f>
        <v>-184</v>
      </c>
      <c r="AW203" s="1">
        <f t="shared" ref="AW203:AW266" ca="1" si="68">RANDBETWEEN(1,10)</f>
        <v>4</v>
      </c>
      <c r="AX203">
        <v>27</v>
      </c>
      <c r="AY203">
        <v>3000</v>
      </c>
    </row>
    <row r="204" spans="4:51" x14ac:dyDescent="0.3">
      <c r="D204" t="str">
        <f t="shared" ca="1" si="60"/>
        <v/>
      </c>
      <c r="E204" t="str" cm="1">
        <f t="array" aca="1" ref="E204" ca="1">_xlfn.IFS(D204="","",D204="Starstone", VLOOKUP($BK$4,$BK$6:$BM$11,3)*AI207*AJ207, D204 = "Tristal", VLOOKUP($BK$14,$BK$16:$BM$24,3)*AI207*AJ207, 1=1, VLOOKUP(AO207,$AX$75:$AZ$174,3)*AI207*AJ207)</f>
        <v/>
      </c>
      <c r="F204" t="str" cm="1">
        <f t="array" aca="1" ref="F204" ca="1">IF(D204="","",_xlfn.IFS(AH207&gt;5,"Normal",AND(AH207&lt;=5,$BK$28&lt;=4),VLOOKUP(AF207,$BK$29:$BN$39,2),AND(AH207&lt;=5,$BK$28&gt;=9),VLOOKUP(AF207,$BK$29:$BN$39,2), 1=1, "Normal"))</f>
        <v/>
      </c>
      <c r="G204" t="str" cm="1">
        <f t="array" aca="1" ref="G204" ca="1">IF(D204="","",_xlfn.IFS(AH207&gt;5, "Normal", AND(AH207&lt;=5, $BL$28&lt;=8, $BL$28&gt;=5), VLOOKUP(AG207,$BK$29:$BN$39,3), AND(AH207&lt;=5,$BK$28&gt;=9), VLOOKUP(AG207,$BK$29:$BN$39,3), 1=1, "Normal"))</f>
        <v/>
      </c>
      <c r="H204" t="str">
        <f t="shared" ca="1" si="57"/>
        <v/>
      </c>
      <c r="I204" t="str">
        <f t="shared" ca="1" si="58"/>
        <v/>
      </c>
      <c r="K204" t="str" cm="1">
        <f t="array" aca="1" ref="K204" ca="1">IF(L204="","",(_xlfn.IFS(L204&gt;=15000,VLOOKUP(AW207,$BE$5:$BH$15,4),L204&gt;=4000,VLOOKUP(AW207,$BE$5:$BH$15,3),L204&gt;=100,VLOOKUP(AW207,$BE$5:$BH$15,2))))</f>
        <v/>
      </c>
      <c r="L204" t="str">
        <f t="shared" ca="1" si="59"/>
        <v/>
      </c>
      <c r="AF204" s="1">
        <f t="shared" ca="1" si="63"/>
        <v>6</v>
      </c>
      <c r="AG204" s="1">
        <f t="shared" ca="1" si="63"/>
        <v>7</v>
      </c>
      <c r="AH204" s="1"/>
      <c r="AI204" s="1">
        <f t="shared" ca="1" si="61"/>
        <v>2</v>
      </c>
      <c r="AJ204" s="1">
        <f t="shared" ca="1" si="62"/>
        <v>2</v>
      </c>
      <c r="AO204" s="1">
        <f t="shared" ca="1" si="64"/>
        <v>59</v>
      </c>
      <c r="AP204" s="1">
        <f t="shared" ca="1" si="65"/>
        <v>-128</v>
      </c>
      <c r="AS204" s="1">
        <f t="shared" ca="1" si="66"/>
        <v>78</v>
      </c>
      <c r="AV204" s="1">
        <f t="shared" ca="1" si="67"/>
        <v>-185</v>
      </c>
      <c r="AW204" s="1">
        <f t="shared" ca="1" si="68"/>
        <v>8</v>
      </c>
      <c r="AX204">
        <v>28</v>
      </c>
      <c r="AY204">
        <v>3000</v>
      </c>
    </row>
    <row r="205" spans="4:51" x14ac:dyDescent="0.3">
      <c r="D205" t="str">
        <f t="shared" ca="1" si="60"/>
        <v/>
      </c>
      <c r="E205" t="str" cm="1">
        <f t="array" aca="1" ref="E205" ca="1">_xlfn.IFS(D205="","",D205="Starstone", VLOOKUP($BK$4,$BK$6:$BM$11,3)*AI208*AJ208, D205 = "Tristal", VLOOKUP($BK$14,$BK$16:$BM$24,3)*AI208*AJ208, 1=1, VLOOKUP(AO208,$AX$75:$AZ$174,3)*AI208*AJ208)</f>
        <v/>
      </c>
      <c r="F205" t="str" cm="1">
        <f t="array" aca="1" ref="F205" ca="1">IF(D205="","",_xlfn.IFS(AH208&gt;5,"Normal",AND(AH208&lt;=5,$BK$28&lt;=4),VLOOKUP(AF208,$BK$29:$BN$39,2),AND(AH208&lt;=5,$BK$28&gt;=9),VLOOKUP(AF208,$BK$29:$BN$39,2), 1=1, "Normal"))</f>
        <v/>
      </c>
      <c r="G205" t="str" cm="1">
        <f t="array" aca="1" ref="G205" ca="1">IF(D205="","",_xlfn.IFS(AH208&gt;5, "Normal", AND(AH208&lt;=5, $BL$28&lt;=8, $BL$28&gt;=5), VLOOKUP(AG208,$BK$29:$BN$39,3), AND(AH208&lt;=5,$BK$28&gt;=9), VLOOKUP(AG208,$BK$29:$BN$39,3), 1=1, "Normal"))</f>
        <v/>
      </c>
      <c r="H205" t="str">
        <f t="shared" ca="1" si="57"/>
        <v/>
      </c>
      <c r="I205" t="str">
        <f t="shared" ca="1" si="58"/>
        <v/>
      </c>
      <c r="K205" t="str" cm="1">
        <f t="array" aca="1" ref="K205" ca="1">IF(L205="","",(_xlfn.IFS(L205&gt;=15000,VLOOKUP(AW208,$BE$5:$BH$15,4),L205&gt;=4000,VLOOKUP(AW208,$BE$5:$BH$15,3),L205&gt;=100,VLOOKUP(AW208,$BE$5:$BH$15,2))))</f>
        <v/>
      </c>
      <c r="L205" t="str">
        <f t="shared" ca="1" si="59"/>
        <v/>
      </c>
      <c r="AF205" s="1">
        <f t="shared" ca="1" si="63"/>
        <v>4</v>
      </c>
      <c r="AG205" s="1">
        <f t="shared" ca="1" si="63"/>
        <v>4</v>
      </c>
      <c r="AH205" s="1"/>
      <c r="AI205" s="1">
        <f t="shared" ca="1" si="61"/>
        <v>0.5</v>
      </c>
      <c r="AJ205" s="1">
        <f t="shared" ca="1" si="62"/>
        <v>0.5</v>
      </c>
      <c r="AO205" s="1">
        <f t="shared" ca="1" si="64"/>
        <v>45</v>
      </c>
      <c r="AP205" s="1">
        <f t="shared" ca="1" si="65"/>
        <v>-129</v>
      </c>
      <c r="AS205" s="1">
        <f t="shared" ca="1" si="66"/>
        <v>59</v>
      </c>
      <c r="AV205" s="1">
        <f t="shared" ca="1" si="67"/>
        <v>-186</v>
      </c>
      <c r="AW205" s="1">
        <f t="shared" ca="1" si="68"/>
        <v>3</v>
      </c>
      <c r="AX205">
        <v>29</v>
      </c>
      <c r="AY205">
        <v>3000</v>
      </c>
    </row>
    <row r="206" spans="4:51" x14ac:dyDescent="0.3">
      <c r="D206" t="str">
        <f t="shared" ca="1" si="60"/>
        <v/>
      </c>
      <c r="E206" t="str" cm="1">
        <f t="array" aca="1" ref="E206" ca="1">_xlfn.IFS(D206="","",D206="Starstone", VLOOKUP($BK$4,$BK$6:$BM$11,3)*AI209*AJ209, D206 = "Tristal", VLOOKUP($BK$14,$BK$16:$BM$24,3)*AI209*AJ209, 1=1, VLOOKUP(AO209,$AX$75:$AZ$174,3)*AI209*AJ209)</f>
        <v/>
      </c>
      <c r="F206" t="str" cm="1">
        <f t="array" aca="1" ref="F206" ca="1">IF(D206="","",_xlfn.IFS(AH209&gt;5,"Normal",AND(AH209&lt;=5,$BK$28&lt;=4),VLOOKUP(AF209,$BK$29:$BN$39,2),AND(AH209&lt;=5,$BK$28&gt;=9),VLOOKUP(AF209,$BK$29:$BN$39,2), 1=1, "Normal"))</f>
        <v/>
      </c>
      <c r="G206" t="str" cm="1">
        <f t="array" aca="1" ref="G206" ca="1">IF(D206="","",_xlfn.IFS(AH209&gt;5, "Normal", AND(AH209&lt;=5, $BL$28&lt;=8, $BL$28&gt;=5), VLOOKUP(AG209,$BK$29:$BN$39,3), AND(AH209&lt;=5,$BK$28&gt;=9), VLOOKUP(AG209,$BK$29:$BN$39,3), 1=1, "Normal"))</f>
        <v/>
      </c>
      <c r="H206" t="str">
        <f t="shared" ca="1" si="57"/>
        <v/>
      </c>
      <c r="I206" t="str">
        <f t="shared" ca="1" si="58"/>
        <v/>
      </c>
      <c r="K206" t="str" cm="1">
        <f t="array" aca="1" ref="K206" ca="1">IF(L206="","",(_xlfn.IFS(L206&gt;=15000,VLOOKUP(AW209,$BE$5:$BH$15,4),L206&gt;=4000,VLOOKUP(AW209,$BE$5:$BH$15,3),L206&gt;=100,VLOOKUP(AW209,$BE$5:$BH$15,2))))</f>
        <v/>
      </c>
      <c r="L206" t="str">
        <f t="shared" ca="1" si="59"/>
        <v/>
      </c>
      <c r="AF206" s="1">
        <f t="shared" ca="1" si="63"/>
        <v>10</v>
      </c>
      <c r="AG206" s="1">
        <f t="shared" ca="1" si="63"/>
        <v>6</v>
      </c>
      <c r="AH206" s="1"/>
      <c r="AI206" s="1">
        <f t="shared" ca="1" si="61"/>
        <v>8</v>
      </c>
      <c r="AJ206" s="1">
        <f t="shared" ca="1" si="62"/>
        <v>2</v>
      </c>
      <c r="AO206" s="1">
        <f t="shared" ca="1" si="64"/>
        <v>84</v>
      </c>
      <c r="AP206" s="1">
        <f t="shared" ca="1" si="65"/>
        <v>-130</v>
      </c>
      <c r="AS206" s="1">
        <f t="shared" ca="1" si="66"/>
        <v>78</v>
      </c>
      <c r="AV206" s="1">
        <f t="shared" ca="1" si="67"/>
        <v>-187</v>
      </c>
      <c r="AW206" s="1">
        <f t="shared" ca="1" si="68"/>
        <v>5</v>
      </c>
      <c r="AX206">
        <v>30</v>
      </c>
      <c r="AY206">
        <v>3000</v>
      </c>
    </row>
    <row r="207" spans="4:51" x14ac:dyDescent="0.3">
      <c r="D207" t="str">
        <f t="shared" ca="1" si="60"/>
        <v/>
      </c>
      <c r="E207" t="str" cm="1">
        <f t="array" aca="1" ref="E207" ca="1">_xlfn.IFS(D207="","",D207="Starstone", VLOOKUP($BK$4,$BK$6:$BM$11,3)*AI210*AJ210, D207 = "Tristal", VLOOKUP($BK$14,$BK$16:$BM$24,3)*AI210*AJ210, 1=1, VLOOKUP(AO210,$AX$75:$AZ$174,3)*AI210*AJ210)</f>
        <v/>
      </c>
      <c r="F207" t="str" cm="1">
        <f t="array" aca="1" ref="F207" ca="1">IF(D207="","",_xlfn.IFS(AH210&gt;5,"Normal",AND(AH210&lt;=5,$BK$28&lt;=4),VLOOKUP(AF210,$BK$29:$BN$39,2),AND(AH210&lt;=5,$BK$28&gt;=9),VLOOKUP(AF210,$BK$29:$BN$39,2), 1=1, "Normal"))</f>
        <v/>
      </c>
      <c r="G207" t="str" cm="1">
        <f t="array" aca="1" ref="G207" ca="1">IF(D207="","",_xlfn.IFS(AH210&gt;5, "Normal", AND(AH210&lt;=5, $BL$28&lt;=8, $BL$28&gt;=5), VLOOKUP(AG210,$BK$29:$BN$39,3), AND(AH210&lt;=5,$BK$28&gt;=9), VLOOKUP(AG210,$BK$29:$BN$39,3), 1=1, "Normal"))</f>
        <v/>
      </c>
      <c r="H207" t="str">
        <f t="shared" ca="1" si="57"/>
        <v/>
      </c>
      <c r="I207" t="str">
        <f t="shared" ca="1" si="58"/>
        <v/>
      </c>
      <c r="K207" t="str" cm="1">
        <f t="array" aca="1" ref="K207" ca="1">IF(L207="","",(_xlfn.IFS(L207&gt;=15000,VLOOKUP(AW210,$BE$5:$BH$15,4),L207&gt;=4000,VLOOKUP(AW210,$BE$5:$BH$15,3),L207&gt;=100,VLOOKUP(AW210,$BE$5:$BH$15,2))))</f>
        <v/>
      </c>
      <c r="L207" t="str">
        <f t="shared" ca="1" si="59"/>
        <v/>
      </c>
      <c r="AF207" s="1">
        <f t="shared" ca="1" si="63"/>
        <v>9</v>
      </c>
      <c r="AG207" s="1">
        <f t="shared" ca="1" si="63"/>
        <v>1</v>
      </c>
      <c r="AH207" s="1"/>
      <c r="AI207" s="1">
        <f t="shared" ca="1" si="61"/>
        <v>4</v>
      </c>
      <c r="AJ207" s="1">
        <f t="shared" ca="1" si="62"/>
        <v>0.125</v>
      </c>
      <c r="AO207" s="1">
        <f t="shared" ca="1" si="64"/>
        <v>45</v>
      </c>
      <c r="AP207" s="1">
        <f t="shared" ca="1" si="65"/>
        <v>-131</v>
      </c>
      <c r="AS207" s="1">
        <f t="shared" ca="1" si="66"/>
        <v>43</v>
      </c>
      <c r="AV207" s="1">
        <f t="shared" ca="1" si="67"/>
        <v>-188</v>
      </c>
      <c r="AW207" s="1">
        <f t="shared" ca="1" si="68"/>
        <v>4</v>
      </c>
      <c r="AX207">
        <v>31</v>
      </c>
      <c r="AY207">
        <v>3000</v>
      </c>
    </row>
    <row r="208" spans="4:51" x14ac:dyDescent="0.3">
      <c r="D208" t="str">
        <f t="shared" ca="1" si="60"/>
        <v/>
      </c>
      <c r="E208" t="str" cm="1">
        <f t="array" aca="1" ref="E208" ca="1">_xlfn.IFS(D208="","",D208="Starstone", VLOOKUP($BK$4,$BK$6:$BM$11,3)*AI211*AJ211, D208 = "Tristal", VLOOKUP($BK$14,$BK$16:$BM$24,3)*AI211*AJ211, 1=1, VLOOKUP(AO211,$AX$75:$AZ$174,3)*AI211*AJ211)</f>
        <v/>
      </c>
      <c r="F208" t="str" cm="1">
        <f t="array" aca="1" ref="F208" ca="1">IF(D208="","",_xlfn.IFS(AH211&gt;5,"Normal",AND(AH211&lt;=5,$BK$28&lt;=4),VLOOKUP(AF211,$BK$29:$BN$39,2),AND(AH211&lt;=5,$BK$28&gt;=9),VLOOKUP(AF211,$BK$29:$BN$39,2), 1=1, "Normal"))</f>
        <v/>
      </c>
      <c r="G208" t="str" cm="1">
        <f t="array" aca="1" ref="G208" ca="1">IF(D208="","",_xlfn.IFS(AH211&gt;5, "Normal", AND(AH211&lt;=5, $BL$28&lt;=8, $BL$28&gt;=5), VLOOKUP(AG211,$BK$29:$BN$39,3), AND(AH211&lt;=5,$BK$28&gt;=9), VLOOKUP(AG211,$BK$29:$BN$39,3), 1=1, "Normal"))</f>
        <v/>
      </c>
      <c r="H208" t="str">
        <f t="shared" ca="1" si="57"/>
        <v/>
      </c>
      <c r="I208" t="str">
        <f t="shared" ca="1" si="58"/>
        <v/>
      </c>
      <c r="K208" t="str" cm="1">
        <f t="array" aca="1" ref="K208" ca="1">IF(L208="","",(_xlfn.IFS(L208&gt;=15000,VLOOKUP(AW211,$BE$5:$BH$15,4),L208&gt;=4000,VLOOKUP(AW211,$BE$5:$BH$15,3),L208&gt;=100,VLOOKUP(AW211,$BE$5:$BH$15,2))))</f>
        <v/>
      </c>
      <c r="L208" t="str">
        <f t="shared" ca="1" si="59"/>
        <v/>
      </c>
      <c r="AF208" s="1">
        <f t="shared" ca="1" si="63"/>
        <v>10</v>
      </c>
      <c r="AG208" s="1">
        <f t="shared" ca="1" si="63"/>
        <v>5</v>
      </c>
      <c r="AH208" s="1"/>
      <c r="AI208" s="1">
        <f t="shared" ca="1" si="61"/>
        <v>8</v>
      </c>
      <c r="AJ208" s="1">
        <f t="shared" ca="1" si="62"/>
        <v>0.5</v>
      </c>
      <c r="AO208" s="1">
        <f t="shared" ca="1" si="64"/>
        <v>30</v>
      </c>
      <c r="AP208" s="1">
        <f t="shared" ca="1" si="65"/>
        <v>-132</v>
      </c>
      <c r="AS208" s="1">
        <f t="shared" ca="1" si="66"/>
        <v>24</v>
      </c>
      <c r="AV208" s="1">
        <f t="shared" ca="1" si="67"/>
        <v>-189</v>
      </c>
      <c r="AW208" s="1">
        <f t="shared" ca="1" si="68"/>
        <v>4</v>
      </c>
      <c r="AX208">
        <v>32</v>
      </c>
      <c r="AY208">
        <v>3000</v>
      </c>
    </row>
    <row r="209" spans="4:51" x14ac:dyDescent="0.3">
      <c r="D209" t="str">
        <f t="shared" ca="1" si="60"/>
        <v/>
      </c>
      <c r="E209" t="str" cm="1">
        <f t="array" aca="1" ref="E209" ca="1">_xlfn.IFS(D209="","",D209="Starstone", VLOOKUP($BK$4,$BK$6:$BM$11,3)*AI212*AJ212, D209 = "Tristal", VLOOKUP($BK$14,$BK$16:$BM$24,3)*AI212*AJ212, 1=1, VLOOKUP(AO212,$AX$75:$AZ$174,3)*AI212*AJ212)</f>
        <v/>
      </c>
      <c r="F209" t="str" cm="1">
        <f t="array" aca="1" ref="F209" ca="1">IF(D209="","",_xlfn.IFS(AH212&gt;5,"Normal",AND(AH212&lt;=5,$BK$28&lt;=4),VLOOKUP(AF212,$BK$29:$BN$39,2),AND(AH212&lt;=5,$BK$28&gt;=9),VLOOKUP(AF212,$BK$29:$BN$39,2), 1=1, "Normal"))</f>
        <v/>
      </c>
      <c r="G209" t="str" cm="1">
        <f t="array" aca="1" ref="G209" ca="1">IF(D209="","",_xlfn.IFS(AH212&gt;5, "Normal", AND(AH212&lt;=5, $BL$28&lt;=8, $BL$28&gt;=5), VLOOKUP(AG212,$BK$29:$BN$39,3), AND(AH212&lt;=5,$BK$28&gt;=9), VLOOKUP(AG212,$BK$29:$BN$39,3), 1=1, "Normal"))</f>
        <v/>
      </c>
      <c r="H209" t="str">
        <f t="shared" ca="1" si="57"/>
        <v/>
      </c>
      <c r="I209" t="str">
        <f t="shared" ca="1" si="58"/>
        <v/>
      </c>
      <c r="K209" t="str" cm="1">
        <f t="array" aca="1" ref="K209" ca="1">IF(L209="","",(_xlfn.IFS(L209&gt;=15000,VLOOKUP(AW212,$BE$5:$BH$15,4),L209&gt;=4000,VLOOKUP(AW212,$BE$5:$BH$15,3),L209&gt;=100,VLOOKUP(AW212,$BE$5:$BH$15,2))))</f>
        <v/>
      </c>
      <c r="L209" t="str">
        <f t="shared" ca="1" si="59"/>
        <v/>
      </c>
      <c r="AF209" s="1">
        <f t="shared" ca="1" si="63"/>
        <v>6</v>
      </c>
      <c r="AG209" s="1">
        <f t="shared" ca="1" si="63"/>
        <v>5</v>
      </c>
      <c r="AH209" s="1"/>
      <c r="AI209" s="1">
        <f t="shared" ca="1" si="61"/>
        <v>2</v>
      </c>
      <c r="AJ209" s="1">
        <f t="shared" ca="1" si="62"/>
        <v>0.5</v>
      </c>
      <c r="AO209" s="1">
        <f t="shared" ca="1" si="64"/>
        <v>48</v>
      </c>
      <c r="AP209" s="1">
        <f t="shared" ca="1" si="65"/>
        <v>-133</v>
      </c>
      <c r="AS209" s="1">
        <f t="shared" ca="1" si="66"/>
        <v>42</v>
      </c>
      <c r="AV209" s="1">
        <f t="shared" ca="1" si="67"/>
        <v>-190</v>
      </c>
      <c r="AW209" s="1">
        <f t="shared" ca="1" si="68"/>
        <v>5</v>
      </c>
      <c r="AX209">
        <v>33</v>
      </c>
      <c r="AY209">
        <v>3000</v>
      </c>
    </row>
    <row r="210" spans="4:51" x14ac:dyDescent="0.3">
      <c r="D210" t="str">
        <f t="shared" ca="1" si="60"/>
        <v/>
      </c>
      <c r="E210" t="str" cm="1">
        <f t="array" aca="1" ref="E210" ca="1">_xlfn.IFS(D210="","",D210="Starstone", VLOOKUP($BK$4,$BK$6:$BM$11,3)*AI213*AJ213, D210 = "Tristal", VLOOKUP($BK$14,$BK$16:$BM$24,3)*AI213*AJ213, 1=1, VLOOKUP(AO213,$AX$75:$AZ$174,3)*AI213*AJ213)</f>
        <v/>
      </c>
      <c r="F210" t="str" cm="1">
        <f t="array" aca="1" ref="F210" ca="1">IF(D210="","",_xlfn.IFS(AH213&gt;5,"Normal",AND(AH213&lt;=5,$BK$28&lt;=4),VLOOKUP(AF213,$BK$29:$BN$39,2),AND(AH213&lt;=5,$BK$28&gt;=9),VLOOKUP(AF213,$BK$29:$BN$39,2), 1=1, "Normal"))</f>
        <v/>
      </c>
      <c r="G210" t="str" cm="1">
        <f t="array" aca="1" ref="G210" ca="1">IF(D210="","",_xlfn.IFS(AH213&gt;5, "Normal", AND(AH213&lt;=5, $BL$28&lt;=8, $BL$28&gt;=5), VLOOKUP(AG213,$BK$29:$BN$39,3), AND(AH213&lt;=5,$BK$28&gt;=9), VLOOKUP(AG213,$BK$29:$BN$39,3), 1=1, "Normal"))</f>
        <v/>
      </c>
      <c r="H210" t="str">
        <f t="shared" ca="1" si="57"/>
        <v/>
      </c>
      <c r="I210" t="str">
        <f t="shared" ca="1" si="58"/>
        <v/>
      </c>
      <c r="K210" t="str" cm="1">
        <f t="array" aca="1" ref="K210" ca="1">IF(L210="","",(_xlfn.IFS(L210&gt;=15000,VLOOKUP(AW213,$BE$5:$BH$15,4),L210&gt;=4000,VLOOKUP(AW213,$BE$5:$BH$15,3),L210&gt;=100,VLOOKUP(AW213,$BE$5:$BH$15,2))))</f>
        <v/>
      </c>
      <c r="L210" t="str">
        <f t="shared" ca="1" si="59"/>
        <v/>
      </c>
      <c r="AF210" s="1">
        <f t="shared" ca="1" si="63"/>
        <v>6</v>
      </c>
      <c r="AG210" s="1">
        <f t="shared" ca="1" si="63"/>
        <v>8</v>
      </c>
      <c r="AH210" s="1"/>
      <c r="AI210" s="1">
        <f t="shared" ca="1" si="61"/>
        <v>2</v>
      </c>
      <c r="AJ210" s="1">
        <f t="shared" ca="1" si="62"/>
        <v>4</v>
      </c>
      <c r="AO210" s="1">
        <f t="shared" ca="1" si="64"/>
        <v>54</v>
      </c>
      <c r="AP210" s="1">
        <f t="shared" ca="1" si="65"/>
        <v>-134</v>
      </c>
      <c r="AS210" s="1">
        <f t="shared" ca="1" si="66"/>
        <v>26</v>
      </c>
      <c r="AV210" s="1">
        <f t="shared" ca="1" si="67"/>
        <v>-191</v>
      </c>
      <c r="AW210" s="1">
        <f t="shared" ca="1" si="68"/>
        <v>10</v>
      </c>
      <c r="AX210">
        <v>34</v>
      </c>
      <c r="AY210">
        <v>3000</v>
      </c>
    </row>
    <row r="211" spans="4:51" x14ac:dyDescent="0.3">
      <c r="D211" t="str">
        <f t="shared" ca="1" si="60"/>
        <v/>
      </c>
      <c r="E211" t="str" cm="1">
        <f t="array" aca="1" ref="E211" ca="1">_xlfn.IFS(D211="","",D211="Starstone", VLOOKUP($BK$4,$BK$6:$BM$11,3)*AI214*AJ214, D211 = "Tristal", VLOOKUP($BK$14,$BK$16:$BM$24,3)*AI214*AJ214, 1=1, VLOOKUP(AO214,$AX$75:$AZ$174,3)*AI214*AJ214)</f>
        <v/>
      </c>
      <c r="F211" t="str" cm="1">
        <f t="array" aca="1" ref="F211" ca="1">IF(D211="","",_xlfn.IFS(AH214&gt;5,"Normal",AND(AH214&lt;=5,$BK$28&lt;=4),VLOOKUP(AF214,$BK$29:$BN$39,2),AND(AH214&lt;=5,$BK$28&gt;=9),VLOOKUP(AF214,$BK$29:$BN$39,2), 1=1, "Normal"))</f>
        <v/>
      </c>
      <c r="G211" t="str" cm="1">
        <f t="array" aca="1" ref="G211" ca="1">IF(D211="","",_xlfn.IFS(AH214&gt;5, "Normal", AND(AH214&lt;=5, $BL$28&lt;=8, $BL$28&gt;=5), VLOOKUP(AG214,$BK$29:$BN$39,3), AND(AH214&lt;=5,$BK$28&gt;=9), VLOOKUP(AG214,$BK$29:$BN$39,3), 1=1, "Normal"))</f>
        <v/>
      </c>
      <c r="H211" t="str">
        <f t="shared" ca="1" si="57"/>
        <v/>
      </c>
      <c r="I211" t="str">
        <f t="shared" ca="1" si="58"/>
        <v/>
      </c>
      <c r="K211" t="str" cm="1">
        <f t="array" aca="1" ref="K211" ca="1">IF(L211="","",(_xlfn.IFS(L211&gt;=15000,VLOOKUP(AW214,$BE$5:$BH$15,4),L211&gt;=4000,VLOOKUP(AW214,$BE$5:$BH$15,3),L211&gt;=100,VLOOKUP(AW214,$BE$5:$BH$15,2))))</f>
        <v/>
      </c>
      <c r="L211" t="str">
        <f t="shared" ca="1" si="59"/>
        <v/>
      </c>
      <c r="AF211" s="1">
        <f t="shared" ca="1" si="63"/>
        <v>7</v>
      </c>
      <c r="AG211" s="1">
        <f t="shared" ca="1" si="63"/>
        <v>3</v>
      </c>
      <c r="AH211" s="1"/>
      <c r="AI211" s="1">
        <f t="shared" ca="1" si="61"/>
        <v>2</v>
      </c>
      <c r="AJ211" s="1">
        <f t="shared" ca="1" si="62"/>
        <v>0.25</v>
      </c>
      <c r="AO211" s="1">
        <f t="shared" ca="1" si="64"/>
        <v>15</v>
      </c>
      <c r="AP211" s="1">
        <f t="shared" ca="1" si="65"/>
        <v>-135</v>
      </c>
      <c r="AS211" s="1">
        <f t="shared" ca="1" si="66"/>
        <v>67</v>
      </c>
      <c r="AV211" s="1">
        <f t="shared" ca="1" si="67"/>
        <v>-192</v>
      </c>
      <c r="AW211" s="1">
        <f t="shared" ca="1" si="68"/>
        <v>9</v>
      </c>
      <c r="AX211">
        <v>35</v>
      </c>
      <c r="AY211">
        <v>4000</v>
      </c>
    </row>
    <row r="212" spans="4:51" x14ac:dyDescent="0.3">
      <c r="D212" t="str">
        <f t="shared" ca="1" si="60"/>
        <v/>
      </c>
      <c r="E212" t="str" cm="1">
        <f t="array" aca="1" ref="E212" ca="1">_xlfn.IFS(D212="","",D212="Starstone", VLOOKUP($BK$4,$BK$6:$BM$11,3)*AI215*AJ215, D212 = "Tristal", VLOOKUP($BK$14,$BK$16:$BM$24,3)*AI215*AJ215, 1=1, VLOOKUP(AO215,$AX$75:$AZ$174,3)*AI215*AJ215)</f>
        <v/>
      </c>
      <c r="F212" t="str" cm="1">
        <f t="array" aca="1" ref="F212" ca="1">IF(D212="","",_xlfn.IFS(AH215&gt;5,"Normal",AND(AH215&lt;=5,$BK$28&lt;=4),VLOOKUP(AF215,$BK$29:$BN$39,2),AND(AH215&lt;=5,$BK$28&gt;=9),VLOOKUP(AF215,$BK$29:$BN$39,2), 1=1, "Normal"))</f>
        <v/>
      </c>
      <c r="G212" t="str" cm="1">
        <f t="array" aca="1" ref="G212" ca="1">IF(D212="","",_xlfn.IFS(AH215&gt;5, "Normal", AND(AH215&lt;=5, $BL$28&lt;=8, $BL$28&gt;=5), VLOOKUP(AG215,$BK$29:$BN$39,3), AND(AH215&lt;=5,$BK$28&gt;=9), VLOOKUP(AG215,$BK$29:$BN$39,3), 1=1, "Normal"))</f>
        <v/>
      </c>
      <c r="H212" t="str">
        <f t="shared" ca="1" si="57"/>
        <v/>
      </c>
      <c r="I212" t="str">
        <f t="shared" ca="1" si="58"/>
        <v/>
      </c>
      <c r="K212" t="str" cm="1">
        <f t="array" aca="1" ref="K212" ca="1">IF(L212="","",(_xlfn.IFS(L212&gt;=15000,VLOOKUP(AW215,$BE$5:$BH$15,4),L212&gt;=4000,VLOOKUP(AW215,$BE$5:$BH$15,3),L212&gt;=100,VLOOKUP(AW215,$BE$5:$BH$15,2))))</f>
        <v/>
      </c>
      <c r="L212" t="str">
        <f t="shared" ca="1" si="59"/>
        <v/>
      </c>
      <c r="AF212" s="1">
        <f t="shared" ca="1" si="63"/>
        <v>2</v>
      </c>
      <c r="AG212" s="1">
        <f t="shared" ca="1" si="63"/>
        <v>10</v>
      </c>
      <c r="AH212" s="1"/>
      <c r="AI212" s="1">
        <f t="shared" ca="1" si="61"/>
        <v>0.25</v>
      </c>
      <c r="AJ212" s="1">
        <f t="shared" ca="1" si="62"/>
        <v>8</v>
      </c>
      <c r="AO212" s="1">
        <f t="shared" ca="1" si="64"/>
        <v>62</v>
      </c>
      <c r="AP212" s="1">
        <f t="shared" ca="1" si="65"/>
        <v>-136</v>
      </c>
      <c r="AS212" s="1">
        <f t="shared" ca="1" si="66"/>
        <v>29</v>
      </c>
      <c r="AV212" s="1">
        <f t="shared" ca="1" si="67"/>
        <v>-193</v>
      </c>
      <c r="AW212" s="1">
        <f t="shared" ca="1" si="68"/>
        <v>5</v>
      </c>
      <c r="AX212">
        <v>36</v>
      </c>
      <c r="AY212">
        <v>4000</v>
      </c>
    </row>
    <row r="213" spans="4:51" x14ac:dyDescent="0.3">
      <c r="D213" t="str">
        <f t="shared" ca="1" si="60"/>
        <v/>
      </c>
      <c r="E213" t="str" cm="1">
        <f t="array" aca="1" ref="E213" ca="1">_xlfn.IFS(D213="","",D213="Starstone", VLOOKUP($BK$4,$BK$6:$BM$11,3)*AI216*AJ216, D213 = "Tristal", VLOOKUP($BK$14,$BK$16:$BM$24,3)*AI216*AJ216, 1=1, VLOOKUP(AO216,$AX$75:$AZ$174,3)*AI216*AJ216)</f>
        <v/>
      </c>
      <c r="F213" t="str" cm="1">
        <f t="array" aca="1" ref="F213" ca="1">IF(D213="","",_xlfn.IFS(AH216&gt;5,"Normal",AND(AH216&lt;=5,$BK$28&lt;=4),VLOOKUP(AF216,$BK$29:$BN$39,2),AND(AH216&lt;=5,$BK$28&gt;=9),VLOOKUP(AF216,$BK$29:$BN$39,2), 1=1, "Normal"))</f>
        <v/>
      </c>
      <c r="G213" t="str" cm="1">
        <f t="array" aca="1" ref="G213" ca="1">IF(D213="","",_xlfn.IFS(AH216&gt;5, "Normal", AND(AH216&lt;=5, $BL$28&lt;=8, $BL$28&gt;=5), VLOOKUP(AG216,$BK$29:$BN$39,3), AND(AH216&lt;=5,$BK$28&gt;=9), VLOOKUP(AG216,$BK$29:$BN$39,3), 1=1, "Normal"))</f>
        <v/>
      </c>
      <c r="H213" t="str">
        <f t="shared" ca="1" si="57"/>
        <v/>
      </c>
      <c r="I213" t="str">
        <f t="shared" ca="1" si="58"/>
        <v/>
      </c>
      <c r="K213" t="str" cm="1">
        <f t="array" aca="1" ref="K213" ca="1">IF(L213="","",(_xlfn.IFS(L213&gt;=15000,VLOOKUP(AW216,$BE$5:$BH$15,4),L213&gt;=4000,VLOOKUP(AW216,$BE$5:$BH$15,3),L213&gt;=100,VLOOKUP(AW216,$BE$5:$BH$15,2))))</f>
        <v/>
      </c>
      <c r="L213" t="str">
        <f t="shared" ca="1" si="59"/>
        <v/>
      </c>
      <c r="AF213" s="1">
        <f t="shared" ca="1" si="63"/>
        <v>4</v>
      </c>
      <c r="AG213" s="1">
        <f t="shared" ca="1" si="63"/>
        <v>8</v>
      </c>
      <c r="AH213" s="1"/>
      <c r="AI213" s="1">
        <f t="shared" ca="1" si="61"/>
        <v>0.5</v>
      </c>
      <c r="AJ213" s="1">
        <f t="shared" ca="1" si="62"/>
        <v>4</v>
      </c>
      <c r="AO213" s="1">
        <f t="shared" ca="1" si="64"/>
        <v>16</v>
      </c>
      <c r="AP213" s="1">
        <f t="shared" ca="1" si="65"/>
        <v>-137</v>
      </c>
      <c r="AS213" s="1">
        <f t="shared" ca="1" si="66"/>
        <v>19</v>
      </c>
      <c r="AV213" s="1">
        <f t="shared" ca="1" si="67"/>
        <v>-194</v>
      </c>
      <c r="AW213" s="1">
        <f t="shared" ca="1" si="68"/>
        <v>9</v>
      </c>
      <c r="AX213">
        <v>37</v>
      </c>
      <c r="AY213">
        <v>4000</v>
      </c>
    </row>
    <row r="214" spans="4:51" x14ac:dyDescent="0.3">
      <c r="D214" t="str">
        <f t="shared" ca="1" si="60"/>
        <v/>
      </c>
      <c r="E214" t="str" cm="1">
        <f t="array" aca="1" ref="E214" ca="1">_xlfn.IFS(D214="","",D214="Starstone", VLOOKUP($BK$4,$BK$6:$BM$11,3)*AI217*AJ217, D214 = "Tristal", VLOOKUP($BK$14,$BK$16:$BM$24,3)*AI217*AJ217, 1=1, VLOOKUP(AO217,$AX$75:$AZ$174,3)*AI217*AJ217)</f>
        <v/>
      </c>
      <c r="F214" t="str" cm="1">
        <f t="array" aca="1" ref="F214" ca="1">IF(D214="","",_xlfn.IFS(AH217&gt;5,"Normal",AND(AH217&lt;=5,$BK$28&lt;=4),VLOOKUP(AF217,$BK$29:$BN$39,2),AND(AH217&lt;=5,$BK$28&gt;=9),VLOOKUP(AF217,$BK$29:$BN$39,2), 1=1, "Normal"))</f>
        <v/>
      </c>
      <c r="G214" t="str" cm="1">
        <f t="array" aca="1" ref="G214" ca="1">IF(D214="","",_xlfn.IFS(AH217&gt;5, "Normal", AND(AH217&lt;=5, $BL$28&lt;=8, $BL$28&gt;=5), VLOOKUP(AG217,$BK$29:$BN$39,3), AND(AH217&lt;=5,$BK$28&gt;=9), VLOOKUP(AG217,$BK$29:$BN$39,3), 1=1, "Normal"))</f>
        <v/>
      </c>
      <c r="H214" t="str">
        <f t="shared" ca="1" si="57"/>
        <v/>
      </c>
      <c r="I214" t="str">
        <f t="shared" ca="1" si="58"/>
        <v/>
      </c>
      <c r="K214" t="str" cm="1">
        <f t="array" aca="1" ref="K214" ca="1">IF(L214="","",(_xlfn.IFS(L214&gt;=15000,VLOOKUP(AW217,$BE$5:$BH$15,4),L214&gt;=4000,VLOOKUP(AW217,$BE$5:$BH$15,3),L214&gt;=100,VLOOKUP(AW217,$BE$5:$BH$15,2))))</f>
        <v/>
      </c>
      <c r="L214" t="str">
        <f t="shared" ca="1" si="59"/>
        <v/>
      </c>
      <c r="AF214" s="1">
        <f t="shared" ca="1" si="63"/>
        <v>8</v>
      </c>
      <c r="AG214" s="1">
        <f t="shared" ca="1" si="63"/>
        <v>4</v>
      </c>
      <c r="AH214" s="1"/>
      <c r="AI214" s="1">
        <f t="shared" ca="1" si="61"/>
        <v>4</v>
      </c>
      <c r="AJ214" s="1">
        <f t="shared" ca="1" si="62"/>
        <v>0.5</v>
      </c>
      <c r="AO214" s="1">
        <f t="shared" ca="1" si="64"/>
        <v>65</v>
      </c>
      <c r="AP214" s="1">
        <f t="shared" ca="1" si="65"/>
        <v>-138</v>
      </c>
      <c r="AS214" s="1">
        <f t="shared" ca="1" si="66"/>
        <v>30</v>
      </c>
      <c r="AV214" s="1">
        <f t="shared" ca="1" si="67"/>
        <v>-195</v>
      </c>
      <c r="AW214" s="1">
        <f t="shared" ca="1" si="68"/>
        <v>5</v>
      </c>
      <c r="AX214">
        <v>38</v>
      </c>
      <c r="AY214">
        <v>4000</v>
      </c>
    </row>
    <row r="215" spans="4:51" x14ac:dyDescent="0.3">
      <c r="D215" t="str">
        <f t="shared" ca="1" si="60"/>
        <v/>
      </c>
      <c r="E215" t="str" cm="1">
        <f t="array" aca="1" ref="E215" ca="1">_xlfn.IFS(D215="","",D215="Starstone", VLOOKUP($BK$4,$BK$6:$BM$11,3)*AI218*AJ218, D215 = "Tristal", VLOOKUP($BK$14,$BK$16:$BM$24,3)*AI218*AJ218, 1=1, VLOOKUP(AO218,$AX$75:$AZ$174,3)*AI218*AJ218)</f>
        <v/>
      </c>
      <c r="F215" t="str" cm="1">
        <f t="array" aca="1" ref="F215" ca="1">IF(D215="","",_xlfn.IFS(AH218&gt;5,"Normal",AND(AH218&lt;=5,$BK$28&lt;=4),VLOOKUP(AF218,$BK$29:$BN$39,2),AND(AH218&lt;=5,$BK$28&gt;=9),VLOOKUP(AF218,$BK$29:$BN$39,2), 1=1, "Normal"))</f>
        <v/>
      </c>
      <c r="G215" t="str" cm="1">
        <f t="array" aca="1" ref="G215" ca="1">IF(D215="","",_xlfn.IFS(AH218&gt;5, "Normal", AND(AH218&lt;=5, $BL$28&lt;=8, $BL$28&gt;=5), VLOOKUP(AG218,$BK$29:$BN$39,3), AND(AH218&lt;=5,$BK$28&gt;=9), VLOOKUP(AG218,$BK$29:$BN$39,3), 1=1, "Normal"))</f>
        <v/>
      </c>
      <c r="H215" t="str">
        <f t="shared" ca="1" si="57"/>
        <v/>
      </c>
      <c r="I215" t="str">
        <f t="shared" ca="1" si="58"/>
        <v/>
      </c>
      <c r="K215" t="str" cm="1">
        <f t="array" aca="1" ref="K215" ca="1">IF(L215="","",(_xlfn.IFS(L215&gt;=15000,VLOOKUP(AW218,$BE$5:$BH$15,4),L215&gt;=4000,VLOOKUP(AW218,$BE$5:$BH$15,3),L215&gt;=100,VLOOKUP(AW218,$BE$5:$BH$15,2))))</f>
        <v/>
      </c>
      <c r="L215" t="str">
        <f t="shared" ca="1" si="59"/>
        <v/>
      </c>
      <c r="AF215" s="1">
        <f t="shared" ca="1" si="63"/>
        <v>2</v>
      </c>
      <c r="AG215" s="1">
        <f t="shared" ca="1" si="63"/>
        <v>7</v>
      </c>
      <c r="AH215" s="1"/>
      <c r="AI215" s="1">
        <f t="shared" ca="1" si="61"/>
        <v>0.25</v>
      </c>
      <c r="AJ215" s="1">
        <f t="shared" ca="1" si="62"/>
        <v>2</v>
      </c>
      <c r="AO215" s="1">
        <f t="shared" ca="1" si="64"/>
        <v>78</v>
      </c>
      <c r="AP215" s="1">
        <f t="shared" ca="1" si="65"/>
        <v>-139</v>
      </c>
      <c r="AS215" s="1">
        <f t="shared" ca="1" si="66"/>
        <v>67</v>
      </c>
      <c r="AV215" s="1">
        <f t="shared" ca="1" si="67"/>
        <v>-196</v>
      </c>
      <c r="AW215" s="1">
        <f t="shared" ca="1" si="68"/>
        <v>2</v>
      </c>
      <c r="AX215">
        <v>39</v>
      </c>
      <c r="AY215">
        <v>4000</v>
      </c>
    </row>
    <row r="216" spans="4:51" x14ac:dyDescent="0.3">
      <c r="D216" t="str">
        <f t="shared" ca="1" si="60"/>
        <v/>
      </c>
      <c r="E216" t="str" cm="1">
        <f t="array" aca="1" ref="E216" ca="1">_xlfn.IFS(D216="","",D216="Starstone", VLOOKUP($BK$4,$BK$6:$BM$11,3)*AI219*AJ219, D216 = "Tristal", VLOOKUP($BK$14,$BK$16:$BM$24,3)*AI219*AJ219, 1=1, VLOOKUP(AO219,$AX$75:$AZ$174,3)*AI219*AJ219)</f>
        <v/>
      </c>
      <c r="F216" t="str" cm="1">
        <f t="array" aca="1" ref="F216" ca="1">IF(D216="","",_xlfn.IFS(AH219&gt;5,"Normal",AND(AH219&lt;=5,$BK$28&lt;=4),VLOOKUP(AF219,$BK$29:$BN$39,2),AND(AH219&lt;=5,$BK$28&gt;=9),VLOOKUP(AF219,$BK$29:$BN$39,2), 1=1, "Normal"))</f>
        <v/>
      </c>
      <c r="G216" t="str" cm="1">
        <f t="array" aca="1" ref="G216" ca="1">IF(D216="","",_xlfn.IFS(AH219&gt;5, "Normal", AND(AH219&lt;=5, $BL$28&lt;=8, $BL$28&gt;=5), VLOOKUP(AG219,$BK$29:$BN$39,3), AND(AH219&lt;=5,$BK$28&gt;=9), VLOOKUP(AG219,$BK$29:$BN$39,3), 1=1, "Normal"))</f>
        <v/>
      </c>
      <c r="H216" t="str">
        <f t="shared" ca="1" si="57"/>
        <v/>
      </c>
      <c r="I216" t="str">
        <f t="shared" ca="1" si="58"/>
        <v/>
      </c>
      <c r="K216" t="str" cm="1">
        <f t="array" aca="1" ref="K216" ca="1">IF(L216="","",(_xlfn.IFS(L216&gt;=15000,VLOOKUP(AW219,$BE$5:$BH$15,4),L216&gt;=4000,VLOOKUP(AW219,$BE$5:$BH$15,3),L216&gt;=100,VLOOKUP(AW219,$BE$5:$BH$15,2))))</f>
        <v/>
      </c>
      <c r="L216" t="str">
        <f t="shared" ca="1" si="59"/>
        <v/>
      </c>
      <c r="AF216" s="1">
        <f t="shared" ca="1" si="63"/>
        <v>8</v>
      </c>
      <c r="AG216" s="1">
        <f t="shared" ca="1" si="63"/>
        <v>4</v>
      </c>
      <c r="AH216" s="1"/>
      <c r="AI216" s="1">
        <f t="shared" ca="1" si="61"/>
        <v>4</v>
      </c>
      <c r="AJ216" s="1">
        <f t="shared" ca="1" si="62"/>
        <v>0.5</v>
      </c>
      <c r="AO216" s="1">
        <f t="shared" ca="1" si="64"/>
        <v>54</v>
      </c>
      <c r="AP216" s="1">
        <f t="shared" ca="1" si="65"/>
        <v>-140</v>
      </c>
      <c r="AS216" s="1">
        <f t="shared" ca="1" si="66"/>
        <v>51</v>
      </c>
      <c r="AV216" s="1">
        <f t="shared" ca="1" si="67"/>
        <v>-197</v>
      </c>
      <c r="AW216" s="1">
        <f t="shared" ca="1" si="68"/>
        <v>5</v>
      </c>
      <c r="AX216">
        <v>40</v>
      </c>
      <c r="AY216">
        <v>4000</v>
      </c>
    </row>
    <row r="217" spans="4:51" x14ac:dyDescent="0.3">
      <c r="D217" t="str">
        <f t="shared" ca="1" si="60"/>
        <v/>
      </c>
      <c r="E217" t="str" cm="1">
        <f t="array" aca="1" ref="E217" ca="1">_xlfn.IFS(D217="","",D217="Starstone", VLOOKUP($BK$4,$BK$6:$BM$11,3)*AI220*AJ220, D217 = "Tristal", VLOOKUP($BK$14,$BK$16:$BM$24,3)*AI220*AJ220, 1=1, VLOOKUP(AO220,$AX$75:$AZ$174,3)*AI220*AJ220)</f>
        <v/>
      </c>
      <c r="F217" t="str" cm="1">
        <f t="array" aca="1" ref="F217" ca="1">IF(D217="","",_xlfn.IFS(AH220&gt;5,"Normal",AND(AH220&lt;=5,$BK$28&lt;=4),VLOOKUP(AF220,$BK$29:$BN$39,2),AND(AH220&lt;=5,$BK$28&gt;=9),VLOOKUP(AF220,$BK$29:$BN$39,2), 1=1, "Normal"))</f>
        <v/>
      </c>
      <c r="G217" t="str" cm="1">
        <f t="array" aca="1" ref="G217" ca="1">IF(D217="","",_xlfn.IFS(AH220&gt;5, "Normal", AND(AH220&lt;=5, $BL$28&lt;=8, $BL$28&gt;=5), VLOOKUP(AG220,$BK$29:$BN$39,3), AND(AH220&lt;=5,$BK$28&gt;=9), VLOOKUP(AG220,$BK$29:$BN$39,3), 1=1, "Normal"))</f>
        <v/>
      </c>
      <c r="H217" t="str">
        <f t="shared" ca="1" si="57"/>
        <v/>
      </c>
      <c r="I217" t="str">
        <f t="shared" ca="1" si="58"/>
        <v/>
      </c>
      <c r="K217" t="str" cm="1">
        <f t="array" aca="1" ref="K217" ca="1">IF(L217="","",(_xlfn.IFS(L217&gt;=15000,VLOOKUP(AW220,$BE$5:$BH$15,4),L217&gt;=4000,VLOOKUP(AW220,$BE$5:$BH$15,3),L217&gt;=100,VLOOKUP(AW220,$BE$5:$BH$15,2))))</f>
        <v/>
      </c>
      <c r="L217" t="str">
        <f t="shared" ca="1" si="59"/>
        <v/>
      </c>
      <c r="AF217" s="1">
        <f t="shared" ca="1" si="63"/>
        <v>7</v>
      </c>
      <c r="AG217" s="1">
        <f t="shared" ca="1" si="63"/>
        <v>4</v>
      </c>
      <c r="AH217" s="1"/>
      <c r="AI217" s="1">
        <f t="shared" ca="1" si="61"/>
        <v>2</v>
      </c>
      <c r="AJ217" s="1">
        <f t="shared" ca="1" si="62"/>
        <v>0.5</v>
      </c>
      <c r="AO217" s="1">
        <f t="shared" ca="1" si="64"/>
        <v>19</v>
      </c>
      <c r="AP217" s="1">
        <f t="shared" ca="1" si="65"/>
        <v>-141</v>
      </c>
      <c r="AS217" s="1">
        <f t="shared" ca="1" si="66"/>
        <v>5</v>
      </c>
      <c r="AV217" s="1">
        <f t="shared" ca="1" si="67"/>
        <v>-198</v>
      </c>
      <c r="AW217" s="1">
        <f t="shared" ca="1" si="68"/>
        <v>2</v>
      </c>
      <c r="AX217">
        <v>41</v>
      </c>
      <c r="AY217">
        <v>4000</v>
      </c>
    </row>
    <row r="218" spans="4:51" x14ac:dyDescent="0.3">
      <c r="D218" t="str">
        <f t="shared" ca="1" si="60"/>
        <v/>
      </c>
      <c r="E218" t="str" cm="1">
        <f t="array" aca="1" ref="E218" ca="1">_xlfn.IFS(D218="","",D218="Starstone", VLOOKUP($BK$4,$BK$6:$BM$11,3)*AI221*AJ221, D218 = "Tristal", VLOOKUP($BK$14,$BK$16:$BM$24,3)*AI221*AJ221, 1=1, VLOOKUP(AO221,$AX$75:$AZ$174,3)*AI221*AJ221)</f>
        <v/>
      </c>
      <c r="F218" t="str" cm="1">
        <f t="array" aca="1" ref="F218" ca="1">IF(D218="","",_xlfn.IFS(AH221&gt;5,"Normal",AND(AH221&lt;=5,$BK$28&lt;=4),VLOOKUP(AF221,$BK$29:$BN$39,2),AND(AH221&lt;=5,$BK$28&gt;=9),VLOOKUP(AF221,$BK$29:$BN$39,2), 1=1, "Normal"))</f>
        <v/>
      </c>
      <c r="G218" t="str" cm="1">
        <f t="array" aca="1" ref="G218" ca="1">IF(D218="","",_xlfn.IFS(AH221&gt;5, "Normal", AND(AH221&lt;=5, $BL$28&lt;=8, $BL$28&gt;=5), VLOOKUP(AG221,$BK$29:$BN$39,3), AND(AH221&lt;=5,$BK$28&gt;=9), VLOOKUP(AG221,$BK$29:$BN$39,3), 1=1, "Normal"))</f>
        <v/>
      </c>
      <c r="H218" t="str">
        <f t="shared" ca="1" si="57"/>
        <v/>
      </c>
      <c r="I218" t="str">
        <f t="shared" ca="1" si="58"/>
        <v/>
      </c>
      <c r="K218" t="str" cm="1">
        <f t="array" aca="1" ref="K218" ca="1">IF(L218="","",(_xlfn.IFS(L218&gt;=15000,VLOOKUP(AW221,$BE$5:$BH$15,4),L218&gt;=4000,VLOOKUP(AW221,$BE$5:$BH$15,3),L218&gt;=100,VLOOKUP(AW221,$BE$5:$BH$15,2))))</f>
        <v/>
      </c>
      <c r="L218" t="str">
        <f t="shared" ca="1" si="59"/>
        <v/>
      </c>
      <c r="AF218" s="1">
        <f t="shared" ca="1" si="63"/>
        <v>1</v>
      </c>
      <c r="AG218" s="1">
        <f t="shared" ca="1" si="63"/>
        <v>8</v>
      </c>
      <c r="AH218" s="1"/>
      <c r="AI218" s="1">
        <f t="shared" ca="1" si="61"/>
        <v>0.125</v>
      </c>
      <c r="AJ218" s="1">
        <f t="shared" ca="1" si="62"/>
        <v>4</v>
      </c>
      <c r="AO218" s="1">
        <f t="shared" ca="1" si="64"/>
        <v>98</v>
      </c>
      <c r="AP218" s="1">
        <f t="shared" ca="1" si="65"/>
        <v>-142</v>
      </c>
      <c r="AS218" s="1">
        <f t="shared" ca="1" si="66"/>
        <v>3</v>
      </c>
      <c r="AV218" s="1">
        <f t="shared" ca="1" si="67"/>
        <v>-199</v>
      </c>
      <c r="AW218" s="1">
        <f t="shared" ca="1" si="68"/>
        <v>5</v>
      </c>
      <c r="AX218">
        <v>42</v>
      </c>
      <c r="AY218">
        <v>4000</v>
      </c>
    </row>
    <row r="219" spans="4:51" x14ac:dyDescent="0.3">
      <c r="D219" t="str">
        <f t="shared" ca="1" si="60"/>
        <v/>
      </c>
      <c r="E219" t="str" cm="1">
        <f t="array" aca="1" ref="E219" ca="1">_xlfn.IFS(D219="","",D219="Starstone", VLOOKUP($BK$4,$BK$6:$BM$11,3)*AI222*AJ222, D219 = "Tristal", VLOOKUP($BK$14,$BK$16:$BM$24,3)*AI222*AJ222, 1=1, VLOOKUP(AO222,$AX$75:$AZ$174,3)*AI222*AJ222)</f>
        <v/>
      </c>
      <c r="F219" t="str" cm="1">
        <f t="array" aca="1" ref="F219" ca="1">IF(D219="","",_xlfn.IFS(AH222&gt;5,"Normal",AND(AH222&lt;=5,$BK$28&lt;=4),VLOOKUP(AF222,$BK$29:$BN$39,2),AND(AH222&lt;=5,$BK$28&gt;=9),VLOOKUP(AF222,$BK$29:$BN$39,2), 1=1, "Normal"))</f>
        <v/>
      </c>
      <c r="G219" t="str" cm="1">
        <f t="array" aca="1" ref="G219" ca="1">IF(D219="","",_xlfn.IFS(AH222&gt;5, "Normal", AND(AH222&lt;=5, $BL$28&lt;=8, $BL$28&gt;=5), VLOOKUP(AG222,$BK$29:$BN$39,3), AND(AH222&lt;=5,$BK$28&gt;=9), VLOOKUP(AG222,$BK$29:$BN$39,3), 1=1, "Normal"))</f>
        <v/>
      </c>
      <c r="H219" t="str">
        <f t="shared" ca="1" si="57"/>
        <v/>
      </c>
      <c r="I219" t="str">
        <f t="shared" ca="1" si="58"/>
        <v/>
      </c>
      <c r="K219" t="str" cm="1">
        <f t="array" aca="1" ref="K219" ca="1">IF(L219="","",(_xlfn.IFS(L219&gt;=15000,VLOOKUP(AW222,$BE$5:$BH$15,4),L219&gt;=4000,VLOOKUP(AW222,$BE$5:$BH$15,3),L219&gt;=100,VLOOKUP(AW222,$BE$5:$BH$15,2))))</f>
        <v/>
      </c>
      <c r="L219" t="str">
        <f t="shared" ca="1" si="59"/>
        <v/>
      </c>
      <c r="AF219" s="1">
        <f t="shared" ca="1" si="63"/>
        <v>6</v>
      </c>
      <c r="AG219" s="1">
        <f t="shared" ca="1" si="63"/>
        <v>1</v>
      </c>
      <c r="AH219" s="1"/>
      <c r="AI219" s="1">
        <f t="shared" ca="1" si="61"/>
        <v>2</v>
      </c>
      <c r="AJ219" s="1">
        <f t="shared" ca="1" si="62"/>
        <v>0.125</v>
      </c>
      <c r="AO219" s="1">
        <f t="shared" ca="1" si="64"/>
        <v>37</v>
      </c>
      <c r="AP219" s="1">
        <f t="shared" ca="1" si="65"/>
        <v>-143</v>
      </c>
      <c r="AS219" s="1">
        <f t="shared" ca="1" si="66"/>
        <v>43</v>
      </c>
      <c r="AV219" s="1">
        <f t="shared" ca="1" si="67"/>
        <v>-200</v>
      </c>
      <c r="AW219" s="1">
        <f t="shared" ca="1" si="68"/>
        <v>6</v>
      </c>
      <c r="AX219">
        <v>43</v>
      </c>
      <c r="AY219">
        <v>4000</v>
      </c>
    </row>
    <row r="220" spans="4:51" x14ac:dyDescent="0.3">
      <c r="D220" t="str">
        <f t="shared" ca="1" si="60"/>
        <v/>
      </c>
      <c r="E220" t="str" cm="1">
        <f t="array" aca="1" ref="E220" ca="1">_xlfn.IFS(D220="","",D220="Starstone", VLOOKUP($BK$4,$BK$6:$BM$11,3)*AI223*AJ223, D220 = "Tristal", VLOOKUP($BK$14,$BK$16:$BM$24,3)*AI223*AJ223, 1=1, VLOOKUP(AO223,$AX$75:$AZ$174,3)*AI223*AJ223)</f>
        <v/>
      </c>
      <c r="F220" t="str" cm="1">
        <f t="array" aca="1" ref="F220" ca="1">IF(D220="","",_xlfn.IFS(AH223&gt;5,"Normal",AND(AH223&lt;=5,$BK$28&lt;=4),VLOOKUP(AF223,$BK$29:$BN$39,2),AND(AH223&lt;=5,$BK$28&gt;=9),VLOOKUP(AF223,$BK$29:$BN$39,2), 1=1, "Normal"))</f>
        <v/>
      </c>
      <c r="G220" t="str" cm="1">
        <f t="array" aca="1" ref="G220" ca="1">IF(D220="","",_xlfn.IFS(AH223&gt;5, "Normal", AND(AH223&lt;=5, $BL$28&lt;=8, $BL$28&gt;=5), VLOOKUP(AG223,$BK$29:$BN$39,3), AND(AH223&lt;=5,$BK$28&gt;=9), VLOOKUP(AG223,$BK$29:$BN$39,3), 1=1, "Normal"))</f>
        <v/>
      </c>
      <c r="H220" t="str">
        <f t="shared" ca="1" si="57"/>
        <v/>
      </c>
      <c r="I220" t="str">
        <f t="shared" ca="1" si="58"/>
        <v/>
      </c>
      <c r="K220" t="str" cm="1">
        <f t="array" aca="1" ref="K220" ca="1">IF(L220="","",(_xlfn.IFS(L220&gt;=15000,VLOOKUP(AW223,$BE$5:$BH$15,4),L220&gt;=4000,VLOOKUP(AW223,$BE$5:$BH$15,3),L220&gt;=100,VLOOKUP(AW223,$BE$5:$BH$15,2))))</f>
        <v/>
      </c>
      <c r="L220" t="str">
        <f t="shared" ca="1" si="59"/>
        <v/>
      </c>
      <c r="AF220" s="1">
        <f t="shared" ca="1" si="63"/>
        <v>5</v>
      </c>
      <c r="AG220" s="1">
        <f t="shared" ca="1" si="63"/>
        <v>9</v>
      </c>
      <c r="AH220" s="1"/>
      <c r="AI220" s="1">
        <f t="shared" ca="1" si="61"/>
        <v>0.5</v>
      </c>
      <c r="AJ220" s="1">
        <f t="shared" ca="1" si="62"/>
        <v>4</v>
      </c>
      <c r="AO220" s="1">
        <f t="shared" ca="1" si="64"/>
        <v>64</v>
      </c>
      <c r="AP220" s="1">
        <f t="shared" ca="1" si="65"/>
        <v>-144</v>
      </c>
      <c r="AS220" s="1">
        <f t="shared" ca="1" si="66"/>
        <v>80</v>
      </c>
      <c r="AV220" s="1">
        <f t="shared" ca="1" si="67"/>
        <v>-201</v>
      </c>
      <c r="AW220" s="1">
        <f t="shared" ca="1" si="68"/>
        <v>6</v>
      </c>
      <c r="AX220">
        <v>44</v>
      </c>
      <c r="AY220">
        <v>4000</v>
      </c>
    </row>
    <row r="221" spans="4:51" x14ac:dyDescent="0.3">
      <c r="D221" t="str">
        <f t="shared" ca="1" si="60"/>
        <v/>
      </c>
      <c r="E221" t="str" cm="1">
        <f t="array" aca="1" ref="E221" ca="1">_xlfn.IFS(D221="","",D221="Starstone", VLOOKUP($BK$4,$BK$6:$BM$11,3)*AI224*AJ224, D221 = "Tristal", VLOOKUP($BK$14,$BK$16:$BM$24,3)*AI224*AJ224, 1=1, VLOOKUP(AO224,$AX$75:$AZ$174,3)*AI224*AJ224)</f>
        <v/>
      </c>
      <c r="F221" t="str" cm="1">
        <f t="array" aca="1" ref="F221" ca="1">IF(D221="","",_xlfn.IFS(AH224&gt;5,"Normal",AND(AH224&lt;=5,$BK$28&lt;=4),VLOOKUP(AF224,$BK$29:$BN$39,2),AND(AH224&lt;=5,$BK$28&gt;=9),VLOOKUP(AF224,$BK$29:$BN$39,2), 1=1, "Normal"))</f>
        <v/>
      </c>
      <c r="G221" t="str" cm="1">
        <f t="array" aca="1" ref="G221" ca="1">IF(D221="","",_xlfn.IFS(AH224&gt;5, "Normal", AND(AH224&lt;=5, $BL$28&lt;=8, $BL$28&gt;=5), VLOOKUP(AG224,$BK$29:$BN$39,3), AND(AH224&lt;=5,$BK$28&gt;=9), VLOOKUP(AG224,$BK$29:$BN$39,3), 1=1, "Normal"))</f>
        <v/>
      </c>
      <c r="H221" t="str">
        <f t="shared" ca="1" si="57"/>
        <v/>
      </c>
      <c r="I221" t="str">
        <f t="shared" ca="1" si="58"/>
        <v/>
      </c>
      <c r="K221" t="str" cm="1">
        <f t="array" aca="1" ref="K221" ca="1">IF(L221="","",(_xlfn.IFS(L221&gt;=15000,VLOOKUP(AW224,$BE$5:$BH$15,4),L221&gt;=4000,VLOOKUP(AW224,$BE$5:$BH$15,3),L221&gt;=100,VLOOKUP(AW224,$BE$5:$BH$15,2))))</f>
        <v/>
      </c>
      <c r="L221" t="str">
        <f t="shared" ca="1" si="59"/>
        <v/>
      </c>
      <c r="AF221" s="1">
        <f t="shared" ca="1" si="63"/>
        <v>2</v>
      </c>
      <c r="AG221" s="1">
        <f t="shared" ca="1" si="63"/>
        <v>2</v>
      </c>
      <c r="AH221" s="1"/>
      <c r="AI221" s="1">
        <f t="shared" ca="1" si="61"/>
        <v>0.25</v>
      </c>
      <c r="AJ221" s="1">
        <f t="shared" ca="1" si="62"/>
        <v>0.25</v>
      </c>
      <c r="AO221" s="1">
        <f t="shared" ca="1" si="64"/>
        <v>76</v>
      </c>
      <c r="AP221" s="1">
        <f t="shared" ca="1" si="65"/>
        <v>-145</v>
      </c>
      <c r="AS221" s="1">
        <f t="shared" ca="1" si="66"/>
        <v>87</v>
      </c>
      <c r="AV221" s="1">
        <f t="shared" ca="1" si="67"/>
        <v>-202</v>
      </c>
      <c r="AW221" s="1">
        <f t="shared" ca="1" si="68"/>
        <v>4</v>
      </c>
      <c r="AX221">
        <v>45</v>
      </c>
      <c r="AY221">
        <v>4000</v>
      </c>
    </row>
    <row r="222" spans="4:51" x14ac:dyDescent="0.3">
      <c r="D222" t="str">
        <f t="shared" ca="1" si="60"/>
        <v/>
      </c>
      <c r="E222" t="str" cm="1">
        <f t="array" aca="1" ref="E222" ca="1">_xlfn.IFS(D222="","",D222="Starstone", VLOOKUP($BK$4,$BK$6:$BM$11,3)*AI225*AJ225, D222 = "Tristal", VLOOKUP($BK$14,$BK$16:$BM$24,3)*AI225*AJ225, 1=1, VLOOKUP(AO225,$AX$75:$AZ$174,3)*AI225*AJ225)</f>
        <v/>
      </c>
      <c r="F222" t="str" cm="1">
        <f t="array" aca="1" ref="F222" ca="1">IF(D222="","",_xlfn.IFS(AH225&gt;5,"Normal",AND(AH225&lt;=5,$BK$28&lt;=4),VLOOKUP(AF225,$BK$29:$BN$39,2),AND(AH225&lt;=5,$BK$28&gt;=9),VLOOKUP(AF225,$BK$29:$BN$39,2), 1=1, "Normal"))</f>
        <v/>
      </c>
      <c r="G222" t="str" cm="1">
        <f t="array" aca="1" ref="G222" ca="1">IF(D222="","",_xlfn.IFS(AH225&gt;5, "Normal", AND(AH225&lt;=5, $BL$28&lt;=8, $BL$28&gt;=5), VLOOKUP(AG225,$BK$29:$BN$39,3), AND(AH225&lt;=5,$BK$28&gt;=9), VLOOKUP(AG225,$BK$29:$BN$39,3), 1=1, "Normal"))</f>
        <v/>
      </c>
      <c r="H222" t="str">
        <f t="shared" ca="1" si="57"/>
        <v/>
      </c>
      <c r="I222" t="str">
        <f t="shared" ca="1" si="58"/>
        <v/>
      </c>
      <c r="K222" t="str" cm="1">
        <f t="array" aca="1" ref="K222" ca="1">IF(L222="","",(_xlfn.IFS(L222&gt;=15000,VLOOKUP(AW225,$BE$5:$BH$15,4),L222&gt;=4000,VLOOKUP(AW225,$BE$5:$BH$15,3),L222&gt;=100,VLOOKUP(AW225,$BE$5:$BH$15,2))))</f>
        <v/>
      </c>
      <c r="L222" t="str">
        <f t="shared" ca="1" si="59"/>
        <v/>
      </c>
      <c r="AF222" s="1">
        <f t="shared" ca="1" si="63"/>
        <v>2</v>
      </c>
      <c r="AG222" s="1">
        <f t="shared" ca="1" si="63"/>
        <v>10</v>
      </c>
      <c r="AH222" s="1"/>
      <c r="AI222" s="1">
        <f t="shared" ca="1" si="61"/>
        <v>0.25</v>
      </c>
      <c r="AJ222" s="1">
        <f t="shared" ca="1" si="62"/>
        <v>8</v>
      </c>
      <c r="AO222" s="1">
        <f t="shared" ca="1" si="64"/>
        <v>65</v>
      </c>
      <c r="AP222" s="1">
        <f t="shared" ca="1" si="65"/>
        <v>-146</v>
      </c>
      <c r="AS222" s="1">
        <f t="shared" ca="1" si="66"/>
        <v>78</v>
      </c>
      <c r="AV222" s="1">
        <f t="shared" ca="1" si="67"/>
        <v>-203</v>
      </c>
      <c r="AW222" s="1">
        <f t="shared" ca="1" si="68"/>
        <v>6</v>
      </c>
      <c r="AX222">
        <v>46</v>
      </c>
      <c r="AY222">
        <v>5000</v>
      </c>
    </row>
    <row r="223" spans="4:51" x14ac:dyDescent="0.3">
      <c r="D223" t="str">
        <f t="shared" ca="1" si="60"/>
        <v/>
      </c>
      <c r="E223" t="str" cm="1">
        <f t="array" aca="1" ref="E223" ca="1">_xlfn.IFS(D223="","",D223="Starstone", VLOOKUP($BK$4,$BK$6:$BM$11,3)*AI226*AJ226, D223 = "Tristal", VLOOKUP($BK$14,$BK$16:$BM$24,3)*AI226*AJ226, 1=1, VLOOKUP(AO226,$AX$75:$AZ$174,3)*AI226*AJ226)</f>
        <v/>
      </c>
      <c r="F223" t="str" cm="1">
        <f t="array" aca="1" ref="F223" ca="1">IF(D223="","",_xlfn.IFS(AH226&gt;5,"Normal",AND(AH226&lt;=5,$BK$28&lt;=4),VLOOKUP(AF226,$BK$29:$BN$39,2),AND(AH226&lt;=5,$BK$28&gt;=9),VLOOKUP(AF226,$BK$29:$BN$39,2), 1=1, "Normal"))</f>
        <v/>
      </c>
      <c r="G223" t="str" cm="1">
        <f t="array" aca="1" ref="G223" ca="1">IF(D223="","",_xlfn.IFS(AH226&gt;5, "Normal", AND(AH226&lt;=5, $BL$28&lt;=8, $BL$28&gt;=5), VLOOKUP(AG226,$BK$29:$BN$39,3), AND(AH226&lt;=5,$BK$28&gt;=9), VLOOKUP(AG226,$BK$29:$BN$39,3), 1=1, "Normal"))</f>
        <v/>
      </c>
      <c r="H223" t="str">
        <f t="shared" ca="1" si="57"/>
        <v/>
      </c>
      <c r="I223" t="str">
        <f t="shared" ca="1" si="58"/>
        <v/>
      </c>
      <c r="K223" t="str" cm="1">
        <f t="array" aca="1" ref="K223" ca="1">IF(L223="","",(_xlfn.IFS(L223&gt;=15000,VLOOKUP(AW226,$BE$5:$BH$15,4),L223&gt;=4000,VLOOKUP(AW226,$BE$5:$BH$15,3),L223&gt;=100,VLOOKUP(AW226,$BE$5:$BH$15,2))))</f>
        <v/>
      </c>
      <c r="L223" t="str">
        <f t="shared" ca="1" si="59"/>
        <v/>
      </c>
      <c r="AF223" s="1">
        <f t="shared" ca="1" si="63"/>
        <v>9</v>
      </c>
      <c r="AG223" s="1">
        <f t="shared" ca="1" si="63"/>
        <v>6</v>
      </c>
      <c r="AH223" s="1"/>
      <c r="AI223" s="1">
        <f t="shared" ca="1" si="61"/>
        <v>4</v>
      </c>
      <c r="AJ223" s="1">
        <f t="shared" ca="1" si="62"/>
        <v>2</v>
      </c>
      <c r="AO223" s="1">
        <f t="shared" ca="1" si="64"/>
        <v>95</v>
      </c>
      <c r="AP223" s="1">
        <f t="shared" ca="1" si="65"/>
        <v>-147</v>
      </c>
      <c r="AS223" s="1">
        <f t="shared" ca="1" si="66"/>
        <v>84</v>
      </c>
      <c r="AV223" s="1">
        <f t="shared" ca="1" si="67"/>
        <v>-204</v>
      </c>
      <c r="AW223" s="1">
        <f t="shared" ca="1" si="68"/>
        <v>7</v>
      </c>
      <c r="AX223">
        <v>47</v>
      </c>
      <c r="AY223">
        <v>5000</v>
      </c>
    </row>
    <row r="224" spans="4:51" x14ac:dyDescent="0.3">
      <c r="D224" t="str">
        <f t="shared" ca="1" si="60"/>
        <v/>
      </c>
      <c r="E224" t="str" cm="1">
        <f t="array" aca="1" ref="E224" ca="1">_xlfn.IFS(D224="","",D224="Starstone", VLOOKUP($BK$4,$BK$6:$BM$11,3)*AI227*AJ227, D224 = "Tristal", VLOOKUP($BK$14,$BK$16:$BM$24,3)*AI227*AJ227, 1=1, VLOOKUP(AO227,$AX$75:$AZ$174,3)*AI227*AJ227)</f>
        <v/>
      </c>
      <c r="F224" t="str" cm="1">
        <f t="array" aca="1" ref="F224" ca="1">IF(D224="","",_xlfn.IFS(AH227&gt;5,"Normal",AND(AH227&lt;=5,$BK$28&lt;=4),VLOOKUP(AF227,$BK$29:$BN$39,2),AND(AH227&lt;=5,$BK$28&gt;=9),VLOOKUP(AF227,$BK$29:$BN$39,2), 1=1, "Normal"))</f>
        <v/>
      </c>
      <c r="G224" t="str" cm="1">
        <f t="array" aca="1" ref="G224" ca="1">IF(D224="","",_xlfn.IFS(AH227&gt;5, "Normal", AND(AH227&lt;=5, $BL$28&lt;=8, $BL$28&gt;=5), VLOOKUP(AG227,$BK$29:$BN$39,3), AND(AH227&lt;=5,$BK$28&gt;=9), VLOOKUP(AG227,$BK$29:$BN$39,3), 1=1, "Normal"))</f>
        <v/>
      </c>
      <c r="H224" t="str">
        <f t="shared" ca="1" si="57"/>
        <v/>
      </c>
      <c r="I224" t="str">
        <f t="shared" ca="1" si="58"/>
        <v/>
      </c>
      <c r="K224" t="str" cm="1">
        <f t="array" aca="1" ref="K224" ca="1">IF(L224="","",(_xlfn.IFS(L224&gt;=15000,VLOOKUP(AW227,$BE$5:$BH$15,4),L224&gt;=4000,VLOOKUP(AW227,$BE$5:$BH$15,3),L224&gt;=100,VLOOKUP(AW227,$BE$5:$BH$15,2))))</f>
        <v/>
      </c>
      <c r="L224" t="str">
        <f t="shared" ca="1" si="59"/>
        <v/>
      </c>
      <c r="AF224" s="1">
        <f t="shared" ca="1" si="63"/>
        <v>3</v>
      </c>
      <c r="AG224" s="1">
        <f t="shared" ca="1" si="63"/>
        <v>6</v>
      </c>
      <c r="AH224" s="1"/>
      <c r="AI224" s="1">
        <f t="shared" ca="1" si="61"/>
        <v>0.25</v>
      </c>
      <c r="AJ224" s="1">
        <f t="shared" ca="1" si="62"/>
        <v>2</v>
      </c>
      <c r="AO224" s="1">
        <f t="shared" ca="1" si="64"/>
        <v>8</v>
      </c>
      <c r="AP224" s="1">
        <f t="shared" ca="1" si="65"/>
        <v>-148</v>
      </c>
      <c r="AS224" s="1">
        <f t="shared" ca="1" si="66"/>
        <v>77</v>
      </c>
      <c r="AV224" s="1">
        <f t="shared" ca="1" si="67"/>
        <v>-205</v>
      </c>
      <c r="AW224" s="1">
        <f t="shared" ca="1" si="68"/>
        <v>4</v>
      </c>
      <c r="AX224">
        <v>48</v>
      </c>
      <c r="AY224">
        <v>5000</v>
      </c>
    </row>
    <row r="225" spans="4:51" x14ac:dyDescent="0.3">
      <c r="D225" t="str">
        <f t="shared" ca="1" si="60"/>
        <v/>
      </c>
      <c r="E225" t="str" cm="1">
        <f t="array" aca="1" ref="E225" ca="1">_xlfn.IFS(D225="","",D225="Starstone", VLOOKUP($BK$4,$BK$6:$BM$11,3)*AI228*AJ228, D225 = "Tristal", VLOOKUP($BK$14,$BK$16:$BM$24,3)*AI228*AJ228, 1=1, VLOOKUP(AO228,$AX$75:$AZ$174,3)*AI228*AJ228)</f>
        <v/>
      </c>
      <c r="F225" t="str" cm="1">
        <f t="array" aca="1" ref="F225" ca="1">IF(D225="","",_xlfn.IFS(AH228&gt;5,"Normal",AND(AH228&lt;=5,$BK$28&lt;=4),VLOOKUP(AF228,$BK$29:$BN$39,2),AND(AH228&lt;=5,$BK$28&gt;=9),VLOOKUP(AF228,$BK$29:$BN$39,2), 1=1, "Normal"))</f>
        <v/>
      </c>
      <c r="G225" t="str" cm="1">
        <f t="array" aca="1" ref="G225" ca="1">IF(D225="","",_xlfn.IFS(AH228&gt;5, "Normal", AND(AH228&lt;=5, $BL$28&lt;=8, $BL$28&gt;=5), VLOOKUP(AG228,$BK$29:$BN$39,3), AND(AH228&lt;=5,$BK$28&gt;=9), VLOOKUP(AG228,$BK$29:$BN$39,3), 1=1, "Normal"))</f>
        <v/>
      </c>
      <c r="H225" t="str">
        <f t="shared" ca="1" si="57"/>
        <v/>
      </c>
      <c r="I225" t="str">
        <f t="shared" ca="1" si="58"/>
        <v/>
      </c>
      <c r="K225" t="str" cm="1">
        <f t="array" aca="1" ref="K225" ca="1">IF(L225="","",(_xlfn.IFS(L225&gt;=15000,VLOOKUP(AW228,$BE$5:$BH$15,4),L225&gt;=4000,VLOOKUP(AW228,$BE$5:$BH$15,3),L225&gt;=100,VLOOKUP(AW228,$BE$5:$BH$15,2))))</f>
        <v/>
      </c>
      <c r="L225" t="str">
        <f t="shared" ca="1" si="59"/>
        <v/>
      </c>
      <c r="AF225" s="1">
        <f t="shared" ca="1" si="63"/>
        <v>1</v>
      </c>
      <c r="AG225" s="1">
        <f t="shared" ca="1" si="63"/>
        <v>3</v>
      </c>
      <c r="AH225" s="1"/>
      <c r="AI225" s="1">
        <f t="shared" ca="1" si="61"/>
        <v>0.125</v>
      </c>
      <c r="AJ225" s="1">
        <f t="shared" ca="1" si="62"/>
        <v>0.25</v>
      </c>
      <c r="AO225" s="1">
        <f t="shared" ca="1" si="64"/>
        <v>75</v>
      </c>
      <c r="AP225" s="1">
        <f t="shared" ca="1" si="65"/>
        <v>-149</v>
      </c>
      <c r="AS225" s="1">
        <f t="shared" ca="1" si="66"/>
        <v>92</v>
      </c>
      <c r="AV225" s="1">
        <f t="shared" ca="1" si="67"/>
        <v>-206</v>
      </c>
      <c r="AW225" s="1">
        <f t="shared" ca="1" si="68"/>
        <v>10</v>
      </c>
      <c r="AX225">
        <v>49</v>
      </c>
      <c r="AY225">
        <v>5000</v>
      </c>
    </row>
    <row r="226" spans="4:51" x14ac:dyDescent="0.3">
      <c r="D226" t="str">
        <f t="shared" ca="1" si="60"/>
        <v/>
      </c>
      <c r="E226" t="str" cm="1">
        <f t="array" aca="1" ref="E226" ca="1">_xlfn.IFS(D226="","",D226="Starstone", VLOOKUP($BK$4,$BK$6:$BM$11,3)*AI229*AJ229, D226 = "Tristal", VLOOKUP($BK$14,$BK$16:$BM$24,3)*AI229*AJ229, 1=1, VLOOKUP(AO229,$AX$75:$AZ$174,3)*AI229*AJ229)</f>
        <v/>
      </c>
      <c r="F226" t="str" cm="1">
        <f t="array" aca="1" ref="F226" ca="1">IF(D226="","",_xlfn.IFS(AH229&gt;5,"Normal",AND(AH229&lt;=5,$BK$28&lt;=4),VLOOKUP(AF229,$BK$29:$BN$39,2),AND(AH229&lt;=5,$BK$28&gt;=9),VLOOKUP(AF229,$BK$29:$BN$39,2), 1=1, "Normal"))</f>
        <v/>
      </c>
      <c r="G226" t="str" cm="1">
        <f t="array" aca="1" ref="G226" ca="1">IF(D226="","",_xlfn.IFS(AH229&gt;5, "Normal", AND(AH229&lt;=5, $BL$28&lt;=8, $BL$28&gt;=5), VLOOKUP(AG229,$BK$29:$BN$39,3), AND(AH229&lt;=5,$BK$28&gt;=9), VLOOKUP(AG229,$BK$29:$BN$39,3), 1=1, "Normal"))</f>
        <v/>
      </c>
      <c r="H226" t="str">
        <f t="shared" ca="1" si="57"/>
        <v/>
      </c>
      <c r="I226" t="str">
        <f t="shared" ca="1" si="58"/>
        <v/>
      </c>
      <c r="K226" t="str" cm="1">
        <f t="array" aca="1" ref="K226" ca="1">IF(L226="","",(_xlfn.IFS(L226&gt;=15000,VLOOKUP(AW229,$BE$5:$BH$15,4),L226&gt;=4000,VLOOKUP(AW229,$BE$5:$BH$15,3),L226&gt;=100,VLOOKUP(AW229,$BE$5:$BH$15,2))))</f>
        <v/>
      </c>
      <c r="L226" t="str">
        <f t="shared" ca="1" si="59"/>
        <v/>
      </c>
      <c r="AF226" s="1">
        <f t="shared" ca="1" si="63"/>
        <v>10</v>
      </c>
      <c r="AG226" s="1">
        <f t="shared" ca="1" si="63"/>
        <v>7</v>
      </c>
      <c r="AH226" s="1"/>
      <c r="AI226" s="1">
        <f t="shared" ca="1" si="61"/>
        <v>8</v>
      </c>
      <c r="AJ226" s="1">
        <f t="shared" ca="1" si="62"/>
        <v>2</v>
      </c>
      <c r="AO226" s="1">
        <f t="shared" ca="1" si="64"/>
        <v>97</v>
      </c>
      <c r="AP226" s="1">
        <f t="shared" ca="1" si="65"/>
        <v>-150</v>
      </c>
      <c r="AS226" s="1">
        <f t="shared" ca="1" si="66"/>
        <v>18</v>
      </c>
      <c r="AV226" s="1">
        <f t="shared" ca="1" si="67"/>
        <v>-207</v>
      </c>
      <c r="AW226" s="1">
        <f t="shared" ca="1" si="68"/>
        <v>10</v>
      </c>
      <c r="AX226">
        <v>50</v>
      </c>
      <c r="AY226">
        <v>5000</v>
      </c>
    </row>
    <row r="227" spans="4:51" x14ac:dyDescent="0.3">
      <c r="D227" t="str">
        <f t="shared" ca="1" si="60"/>
        <v/>
      </c>
      <c r="E227" t="str" cm="1">
        <f t="array" aca="1" ref="E227" ca="1">_xlfn.IFS(D227="","",D227="Starstone", VLOOKUP($BK$4,$BK$6:$BM$11,3)*AI230*AJ230, D227 = "Tristal", VLOOKUP($BK$14,$BK$16:$BM$24,3)*AI230*AJ230, 1=1, VLOOKUP(AO230,$AX$75:$AZ$174,3)*AI230*AJ230)</f>
        <v/>
      </c>
      <c r="F227" t="str" cm="1">
        <f t="array" aca="1" ref="F227" ca="1">IF(D227="","",_xlfn.IFS(AH230&gt;5,"Normal",AND(AH230&lt;=5,$BK$28&lt;=4),VLOOKUP(AF230,$BK$29:$BN$39,2),AND(AH230&lt;=5,$BK$28&gt;=9),VLOOKUP(AF230,$BK$29:$BN$39,2), 1=1, "Normal"))</f>
        <v/>
      </c>
      <c r="G227" t="str" cm="1">
        <f t="array" aca="1" ref="G227" ca="1">IF(D227="","",_xlfn.IFS(AH230&gt;5, "Normal", AND(AH230&lt;=5, $BL$28&lt;=8, $BL$28&gt;=5), VLOOKUP(AG230,$BK$29:$BN$39,3), AND(AH230&lt;=5,$BK$28&gt;=9), VLOOKUP(AG230,$BK$29:$BN$39,3), 1=1, "Normal"))</f>
        <v/>
      </c>
      <c r="H227" t="str">
        <f t="shared" ca="1" si="57"/>
        <v/>
      </c>
      <c r="I227" t="str">
        <f t="shared" ca="1" si="58"/>
        <v/>
      </c>
      <c r="K227" t="str" cm="1">
        <f t="array" aca="1" ref="K227" ca="1">IF(L227="","",(_xlfn.IFS(L227&gt;=15000,VLOOKUP(AW230,$BE$5:$BH$15,4),L227&gt;=4000,VLOOKUP(AW230,$BE$5:$BH$15,3),L227&gt;=100,VLOOKUP(AW230,$BE$5:$BH$15,2))))</f>
        <v/>
      </c>
      <c r="L227" t="str">
        <f t="shared" ca="1" si="59"/>
        <v/>
      </c>
      <c r="AF227" s="1">
        <f t="shared" ca="1" si="63"/>
        <v>1</v>
      </c>
      <c r="AG227" s="1">
        <f t="shared" ca="1" si="63"/>
        <v>1</v>
      </c>
      <c r="AH227" s="1"/>
      <c r="AI227" s="1">
        <f t="shared" ca="1" si="61"/>
        <v>0.125</v>
      </c>
      <c r="AJ227" s="1">
        <f t="shared" ca="1" si="62"/>
        <v>0.125</v>
      </c>
      <c r="AO227" s="1">
        <f t="shared" ca="1" si="64"/>
        <v>55</v>
      </c>
      <c r="AP227" s="1">
        <f t="shared" ca="1" si="65"/>
        <v>-151</v>
      </c>
      <c r="AS227" s="1">
        <f t="shared" ca="1" si="66"/>
        <v>58</v>
      </c>
      <c r="AV227" s="1">
        <f t="shared" ca="1" si="67"/>
        <v>-208</v>
      </c>
      <c r="AW227" s="1">
        <f t="shared" ca="1" si="68"/>
        <v>5</v>
      </c>
      <c r="AX227">
        <v>51</v>
      </c>
      <c r="AY227">
        <v>5000</v>
      </c>
    </row>
    <row r="228" spans="4:51" x14ac:dyDescent="0.3">
      <c r="D228" t="str">
        <f t="shared" ca="1" si="60"/>
        <v/>
      </c>
      <c r="E228" t="str" cm="1">
        <f t="array" aca="1" ref="E228" ca="1">_xlfn.IFS(D228="","",D228="Starstone", VLOOKUP($BK$4,$BK$6:$BM$11,3)*AI231*AJ231, D228 = "Tristal", VLOOKUP($BK$14,$BK$16:$BM$24,3)*AI231*AJ231, 1=1, VLOOKUP(AO231,$AX$75:$AZ$174,3)*AI231*AJ231)</f>
        <v/>
      </c>
      <c r="F228" t="str" cm="1">
        <f t="array" aca="1" ref="F228" ca="1">IF(D228="","",_xlfn.IFS(AH231&gt;5,"Normal",AND(AH231&lt;=5,$BK$28&lt;=4),VLOOKUP(AF231,$BK$29:$BN$39,2),AND(AH231&lt;=5,$BK$28&gt;=9),VLOOKUP(AF231,$BK$29:$BN$39,2), 1=1, "Normal"))</f>
        <v/>
      </c>
      <c r="G228" t="str" cm="1">
        <f t="array" aca="1" ref="G228" ca="1">IF(D228="","",_xlfn.IFS(AH231&gt;5, "Normal", AND(AH231&lt;=5, $BL$28&lt;=8, $BL$28&gt;=5), VLOOKUP(AG231,$BK$29:$BN$39,3), AND(AH231&lt;=5,$BK$28&gt;=9), VLOOKUP(AG231,$BK$29:$BN$39,3), 1=1, "Normal"))</f>
        <v/>
      </c>
      <c r="H228" t="str">
        <f t="shared" ca="1" si="57"/>
        <v/>
      </c>
      <c r="I228" t="str">
        <f t="shared" ca="1" si="58"/>
        <v/>
      </c>
      <c r="K228" t="str" cm="1">
        <f t="array" aca="1" ref="K228" ca="1">IF(L228="","",(_xlfn.IFS(L228&gt;=15000,VLOOKUP(AW231,$BE$5:$BH$15,4),L228&gt;=4000,VLOOKUP(AW231,$BE$5:$BH$15,3),L228&gt;=100,VLOOKUP(AW231,$BE$5:$BH$15,2))))</f>
        <v/>
      </c>
      <c r="L228" t="str">
        <f t="shared" ca="1" si="59"/>
        <v/>
      </c>
      <c r="AF228" s="1">
        <f t="shared" ca="1" si="63"/>
        <v>8</v>
      </c>
      <c r="AG228" s="1">
        <f t="shared" ca="1" si="63"/>
        <v>10</v>
      </c>
      <c r="AH228" s="1"/>
      <c r="AI228" s="1">
        <f t="shared" ca="1" si="61"/>
        <v>4</v>
      </c>
      <c r="AJ228" s="1">
        <f t="shared" ca="1" si="62"/>
        <v>8</v>
      </c>
      <c r="AO228" s="1">
        <f t="shared" ca="1" si="64"/>
        <v>78</v>
      </c>
      <c r="AP228" s="1">
        <f t="shared" ca="1" si="65"/>
        <v>-152</v>
      </c>
      <c r="AS228" s="1">
        <f t="shared" ca="1" si="66"/>
        <v>34</v>
      </c>
      <c r="AV228" s="1">
        <f t="shared" ca="1" si="67"/>
        <v>-209</v>
      </c>
      <c r="AW228" s="1">
        <f t="shared" ca="1" si="68"/>
        <v>7</v>
      </c>
      <c r="AX228">
        <v>52</v>
      </c>
      <c r="AY228">
        <v>5000</v>
      </c>
    </row>
    <row r="229" spans="4:51" x14ac:dyDescent="0.3">
      <c r="D229" t="str">
        <f t="shared" ca="1" si="60"/>
        <v/>
      </c>
      <c r="E229" t="str" cm="1">
        <f t="array" aca="1" ref="E229" ca="1">_xlfn.IFS(D229="","",D229="Starstone", VLOOKUP($BK$4,$BK$6:$BM$11,3)*AI232*AJ232, D229 = "Tristal", VLOOKUP($BK$14,$BK$16:$BM$24,3)*AI232*AJ232, 1=1, VLOOKUP(AO232,$AX$75:$AZ$174,3)*AI232*AJ232)</f>
        <v/>
      </c>
      <c r="F229" t="str" cm="1">
        <f t="array" aca="1" ref="F229" ca="1">IF(D229="","",_xlfn.IFS(AH232&gt;5,"Normal",AND(AH232&lt;=5,$BK$28&lt;=4),VLOOKUP(AF232,$BK$29:$BN$39,2),AND(AH232&lt;=5,$BK$28&gt;=9),VLOOKUP(AF232,$BK$29:$BN$39,2), 1=1, "Normal"))</f>
        <v/>
      </c>
      <c r="G229" t="str" cm="1">
        <f t="array" aca="1" ref="G229" ca="1">IF(D229="","",_xlfn.IFS(AH232&gt;5, "Normal", AND(AH232&lt;=5, $BL$28&lt;=8, $BL$28&gt;=5), VLOOKUP(AG232,$BK$29:$BN$39,3), AND(AH232&lt;=5,$BK$28&gt;=9), VLOOKUP(AG232,$BK$29:$BN$39,3), 1=1, "Normal"))</f>
        <v/>
      </c>
      <c r="H229" t="str">
        <f t="shared" ca="1" si="57"/>
        <v/>
      </c>
      <c r="I229" t="str">
        <f t="shared" ca="1" si="58"/>
        <v/>
      </c>
      <c r="K229" t="str" cm="1">
        <f t="array" aca="1" ref="K229" ca="1">IF(L229="","",(_xlfn.IFS(L229&gt;=15000,VLOOKUP(AW232,$BE$5:$BH$15,4),L229&gt;=4000,VLOOKUP(AW232,$BE$5:$BH$15,3),L229&gt;=100,VLOOKUP(AW232,$BE$5:$BH$15,2))))</f>
        <v/>
      </c>
      <c r="L229" t="str">
        <f t="shared" ca="1" si="59"/>
        <v/>
      </c>
      <c r="AF229" s="1">
        <f t="shared" ca="1" si="63"/>
        <v>9</v>
      </c>
      <c r="AG229" s="1">
        <f t="shared" ca="1" si="63"/>
        <v>2</v>
      </c>
      <c r="AH229" s="1"/>
      <c r="AI229" s="1">
        <f t="shared" ca="1" si="61"/>
        <v>4</v>
      </c>
      <c r="AJ229" s="1">
        <f t="shared" ca="1" si="62"/>
        <v>0.25</v>
      </c>
      <c r="AO229" s="1">
        <f t="shared" ca="1" si="64"/>
        <v>5</v>
      </c>
      <c r="AP229" s="1">
        <f t="shared" ca="1" si="65"/>
        <v>-153</v>
      </c>
      <c r="AS229" s="1">
        <f t="shared" ca="1" si="66"/>
        <v>42</v>
      </c>
      <c r="AV229" s="1">
        <f t="shared" ca="1" si="67"/>
        <v>-210</v>
      </c>
      <c r="AW229" s="1">
        <f t="shared" ca="1" si="68"/>
        <v>6</v>
      </c>
      <c r="AX229">
        <v>53</v>
      </c>
      <c r="AY229">
        <v>5000</v>
      </c>
    </row>
    <row r="230" spans="4:51" x14ac:dyDescent="0.3">
      <c r="D230" t="str">
        <f t="shared" ca="1" si="60"/>
        <v/>
      </c>
      <c r="E230" t="str" cm="1">
        <f t="array" aca="1" ref="E230" ca="1">_xlfn.IFS(D230="","",D230="Starstone", VLOOKUP($BK$4,$BK$6:$BM$11,3)*AI233*AJ233, D230 = "Tristal", VLOOKUP($BK$14,$BK$16:$BM$24,3)*AI233*AJ233, 1=1, VLOOKUP(AO233,$AX$75:$AZ$174,3)*AI233*AJ233)</f>
        <v/>
      </c>
      <c r="F230" t="str" cm="1">
        <f t="array" aca="1" ref="F230" ca="1">IF(D230="","",_xlfn.IFS(AH233&gt;5,"Normal",AND(AH233&lt;=5,$BK$28&lt;=4),VLOOKUP(AF233,$BK$29:$BN$39,2),AND(AH233&lt;=5,$BK$28&gt;=9),VLOOKUP(AF233,$BK$29:$BN$39,2), 1=1, "Normal"))</f>
        <v/>
      </c>
      <c r="G230" t="str" cm="1">
        <f t="array" aca="1" ref="G230" ca="1">IF(D230="","",_xlfn.IFS(AH233&gt;5, "Normal", AND(AH233&lt;=5, $BL$28&lt;=8, $BL$28&gt;=5), VLOOKUP(AG233,$BK$29:$BN$39,3), AND(AH233&lt;=5,$BK$28&gt;=9), VLOOKUP(AG233,$BK$29:$BN$39,3), 1=1, "Normal"))</f>
        <v/>
      </c>
      <c r="H230" t="str">
        <f t="shared" ca="1" si="57"/>
        <v/>
      </c>
      <c r="I230" t="str">
        <f t="shared" ca="1" si="58"/>
        <v/>
      </c>
      <c r="K230" t="str" cm="1">
        <f t="array" aca="1" ref="K230" ca="1">IF(L230="","",(_xlfn.IFS(L230&gt;=15000,VLOOKUP(AW233,$BE$5:$BH$15,4),L230&gt;=4000,VLOOKUP(AW233,$BE$5:$BH$15,3),L230&gt;=100,VLOOKUP(AW233,$BE$5:$BH$15,2))))</f>
        <v/>
      </c>
      <c r="L230" t="str">
        <f t="shared" ca="1" si="59"/>
        <v/>
      </c>
      <c r="AF230" s="1">
        <f t="shared" ca="1" si="63"/>
        <v>5</v>
      </c>
      <c r="AG230" s="1">
        <f t="shared" ca="1" si="63"/>
        <v>1</v>
      </c>
      <c r="AH230" s="1"/>
      <c r="AI230" s="1">
        <f t="shared" ca="1" si="61"/>
        <v>0.5</v>
      </c>
      <c r="AJ230" s="1">
        <f t="shared" ca="1" si="62"/>
        <v>0.125</v>
      </c>
      <c r="AO230" s="1">
        <f t="shared" ca="1" si="64"/>
        <v>23</v>
      </c>
      <c r="AP230" s="1">
        <f t="shared" ca="1" si="65"/>
        <v>-154</v>
      </c>
      <c r="AS230" s="1">
        <f t="shared" ca="1" si="66"/>
        <v>65</v>
      </c>
      <c r="AV230" s="1">
        <f t="shared" ca="1" si="67"/>
        <v>-211</v>
      </c>
      <c r="AW230" s="1">
        <f t="shared" ca="1" si="68"/>
        <v>8</v>
      </c>
      <c r="AX230">
        <v>54</v>
      </c>
      <c r="AY230">
        <v>5000</v>
      </c>
    </row>
    <row r="231" spans="4:51" x14ac:dyDescent="0.3">
      <c r="D231" t="str">
        <f t="shared" ca="1" si="60"/>
        <v/>
      </c>
      <c r="E231" t="str" cm="1">
        <f t="array" aca="1" ref="E231" ca="1">_xlfn.IFS(D231="","",D231="Starstone", VLOOKUP($BK$4,$BK$6:$BM$11,3)*AI234*AJ234, D231 = "Tristal", VLOOKUP($BK$14,$BK$16:$BM$24,3)*AI234*AJ234, 1=1, VLOOKUP(AO234,$AX$75:$AZ$174,3)*AI234*AJ234)</f>
        <v/>
      </c>
      <c r="F231" t="str" cm="1">
        <f t="array" aca="1" ref="F231" ca="1">IF(D231="","",_xlfn.IFS(AH234&gt;5,"Normal",AND(AH234&lt;=5,$BK$28&lt;=4),VLOOKUP(AF234,$BK$29:$BN$39,2),AND(AH234&lt;=5,$BK$28&gt;=9),VLOOKUP(AF234,$BK$29:$BN$39,2), 1=1, "Normal"))</f>
        <v/>
      </c>
      <c r="G231" t="str" cm="1">
        <f t="array" aca="1" ref="G231" ca="1">IF(D231="","",_xlfn.IFS(AH234&gt;5, "Normal", AND(AH234&lt;=5, $BL$28&lt;=8, $BL$28&gt;=5), VLOOKUP(AG234,$BK$29:$BN$39,3), AND(AH234&lt;=5,$BK$28&gt;=9), VLOOKUP(AG234,$BK$29:$BN$39,3), 1=1, "Normal"))</f>
        <v/>
      </c>
      <c r="H231" t="str">
        <f t="shared" ca="1" si="57"/>
        <v/>
      </c>
      <c r="I231" t="str">
        <f t="shared" ca="1" si="58"/>
        <v/>
      </c>
      <c r="K231" t="str" cm="1">
        <f t="array" aca="1" ref="K231" ca="1">IF(L231="","",(_xlfn.IFS(L231&gt;=15000,VLOOKUP(AW234,$BE$5:$BH$15,4),L231&gt;=4000,VLOOKUP(AW234,$BE$5:$BH$15,3),L231&gt;=100,VLOOKUP(AW234,$BE$5:$BH$15,2))))</f>
        <v/>
      </c>
      <c r="L231" t="str">
        <f t="shared" ca="1" si="59"/>
        <v/>
      </c>
      <c r="AF231" s="1">
        <f t="shared" ca="1" si="63"/>
        <v>1</v>
      </c>
      <c r="AG231" s="1">
        <f t="shared" ca="1" si="63"/>
        <v>3</v>
      </c>
      <c r="AH231" s="1"/>
      <c r="AI231" s="1">
        <f t="shared" ca="1" si="61"/>
        <v>0.125</v>
      </c>
      <c r="AJ231" s="1">
        <f t="shared" ca="1" si="62"/>
        <v>0.25</v>
      </c>
      <c r="AO231" s="1">
        <f t="shared" ca="1" si="64"/>
        <v>17</v>
      </c>
      <c r="AP231" s="1">
        <f t="shared" ca="1" si="65"/>
        <v>-155</v>
      </c>
      <c r="AS231" s="1">
        <f t="shared" ca="1" si="66"/>
        <v>46</v>
      </c>
      <c r="AV231" s="1">
        <f t="shared" ca="1" si="67"/>
        <v>-212</v>
      </c>
      <c r="AW231" s="1">
        <f t="shared" ca="1" si="68"/>
        <v>3</v>
      </c>
      <c r="AX231">
        <v>55</v>
      </c>
      <c r="AY231">
        <v>5000</v>
      </c>
    </row>
    <row r="232" spans="4:51" x14ac:dyDescent="0.3">
      <c r="D232" t="str">
        <f t="shared" ca="1" si="60"/>
        <v/>
      </c>
      <c r="E232" t="str" cm="1">
        <f t="array" aca="1" ref="E232" ca="1">_xlfn.IFS(D232="","",D232="Starstone", VLOOKUP($BK$4,$BK$6:$BM$11,3)*AI235*AJ235, D232 = "Tristal", VLOOKUP($BK$14,$BK$16:$BM$24,3)*AI235*AJ235, 1=1, VLOOKUP(AO235,$AX$75:$AZ$174,3)*AI235*AJ235)</f>
        <v/>
      </c>
      <c r="F232" t="str" cm="1">
        <f t="array" aca="1" ref="F232" ca="1">IF(D232="","",_xlfn.IFS(AH235&gt;5,"Normal",AND(AH235&lt;=5,$BK$28&lt;=4),VLOOKUP(AF235,$BK$29:$BN$39,2),AND(AH235&lt;=5,$BK$28&gt;=9),VLOOKUP(AF235,$BK$29:$BN$39,2), 1=1, "Normal"))</f>
        <v/>
      </c>
      <c r="G232" t="str" cm="1">
        <f t="array" aca="1" ref="G232" ca="1">IF(D232="","",_xlfn.IFS(AH235&gt;5, "Normal", AND(AH235&lt;=5, $BL$28&lt;=8, $BL$28&gt;=5), VLOOKUP(AG235,$BK$29:$BN$39,3), AND(AH235&lt;=5,$BK$28&gt;=9), VLOOKUP(AG235,$BK$29:$BN$39,3), 1=1, "Normal"))</f>
        <v/>
      </c>
      <c r="H232" t="str">
        <f t="shared" ca="1" si="57"/>
        <v/>
      </c>
      <c r="I232" t="str">
        <f t="shared" ca="1" si="58"/>
        <v/>
      </c>
      <c r="K232" t="str" cm="1">
        <f t="array" aca="1" ref="K232" ca="1">IF(L232="","",(_xlfn.IFS(L232&gt;=15000,VLOOKUP(AW235,$BE$5:$BH$15,4),L232&gt;=4000,VLOOKUP(AW235,$BE$5:$BH$15,3),L232&gt;=100,VLOOKUP(AW235,$BE$5:$BH$15,2))))</f>
        <v/>
      </c>
      <c r="L232" t="str">
        <f t="shared" ca="1" si="59"/>
        <v/>
      </c>
      <c r="AF232" s="1">
        <f t="shared" ca="1" si="63"/>
        <v>4</v>
      </c>
      <c r="AG232" s="1">
        <f t="shared" ca="1" si="63"/>
        <v>6</v>
      </c>
      <c r="AH232" s="1"/>
      <c r="AI232" s="1">
        <f t="shared" ca="1" si="61"/>
        <v>0.5</v>
      </c>
      <c r="AJ232" s="1">
        <f t="shared" ca="1" si="62"/>
        <v>2</v>
      </c>
      <c r="AO232" s="1">
        <f t="shared" ca="1" si="64"/>
        <v>81</v>
      </c>
      <c r="AP232" s="1">
        <f t="shared" ca="1" si="65"/>
        <v>-156</v>
      </c>
      <c r="AS232" s="1">
        <f t="shared" ca="1" si="66"/>
        <v>96</v>
      </c>
      <c r="AV232" s="1">
        <f t="shared" ca="1" si="67"/>
        <v>-213</v>
      </c>
      <c r="AW232" s="1">
        <f t="shared" ca="1" si="68"/>
        <v>4</v>
      </c>
      <c r="AX232">
        <v>56</v>
      </c>
      <c r="AY232">
        <v>5000</v>
      </c>
    </row>
    <row r="233" spans="4:51" x14ac:dyDescent="0.3">
      <c r="D233" t="str">
        <f t="shared" ca="1" si="60"/>
        <v/>
      </c>
      <c r="E233" t="str" cm="1">
        <f t="array" aca="1" ref="E233" ca="1">_xlfn.IFS(D233="","",D233="Starstone", VLOOKUP($BK$4,$BK$6:$BM$11,3)*AI236*AJ236, D233 = "Tristal", VLOOKUP($BK$14,$BK$16:$BM$24,3)*AI236*AJ236, 1=1, VLOOKUP(AO236,$AX$75:$AZ$174,3)*AI236*AJ236)</f>
        <v/>
      </c>
      <c r="F233" t="str" cm="1">
        <f t="array" aca="1" ref="F233" ca="1">IF(D233="","",_xlfn.IFS(AH236&gt;5,"Normal",AND(AH236&lt;=5,$BK$28&lt;=4),VLOOKUP(AF236,$BK$29:$BN$39,2),AND(AH236&lt;=5,$BK$28&gt;=9),VLOOKUP(AF236,$BK$29:$BN$39,2), 1=1, "Normal"))</f>
        <v/>
      </c>
      <c r="G233" t="str" cm="1">
        <f t="array" aca="1" ref="G233" ca="1">IF(D233="","",_xlfn.IFS(AH236&gt;5, "Normal", AND(AH236&lt;=5, $BL$28&lt;=8, $BL$28&gt;=5), VLOOKUP(AG236,$BK$29:$BN$39,3), AND(AH236&lt;=5,$BK$28&gt;=9), VLOOKUP(AG236,$BK$29:$BN$39,3), 1=1, "Normal"))</f>
        <v/>
      </c>
      <c r="H233" t="str">
        <f t="shared" ca="1" si="57"/>
        <v/>
      </c>
      <c r="I233" t="str">
        <f t="shared" ca="1" si="58"/>
        <v/>
      </c>
      <c r="K233" t="str" cm="1">
        <f t="array" aca="1" ref="K233" ca="1">IF(L233="","",(_xlfn.IFS(L233&gt;=15000,VLOOKUP(AW236,$BE$5:$BH$15,4),L233&gt;=4000,VLOOKUP(AW236,$BE$5:$BH$15,3),L233&gt;=100,VLOOKUP(AW236,$BE$5:$BH$15,2))))</f>
        <v/>
      </c>
      <c r="L233" t="str">
        <f t="shared" ca="1" si="59"/>
        <v/>
      </c>
      <c r="AF233" s="1">
        <f t="shared" ca="1" si="63"/>
        <v>6</v>
      </c>
      <c r="AG233" s="1">
        <f t="shared" ca="1" si="63"/>
        <v>2</v>
      </c>
      <c r="AH233" s="1"/>
      <c r="AI233" s="1">
        <f t="shared" ca="1" si="61"/>
        <v>2</v>
      </c>
      <c r="AJ233" s="1">
        <f t="shared" ca="1" si="62"/>
        <v>0.25</v>
      </c>
      <c r="AO233" s="1">
        <f t="shared" ca="1" si="64"/>
        <v>18</v>
      </c>
      <c r="AP233" s="1">
        <f t="shared" ca="1" si="65"/>
        <v>-157</v>
      </c>
      <c r="AS233" s="1">
        <f t="shared" ca="1" si="66"/>
        <v>83</v>
      </c>
      <c r="AV233" s="1">
        <f t="shared" ca="1" si="67"/>
        <v>-214</v>
      </c>
      <c r="AW233" s="1">
        <f t="shared" ca="1" si="68"/>
        <v>8</v>
      </c>
      <c r="AX233">
        <v>57</v>
      </c>
      <c r="AY233">
        <v>5000</v>
      </c>
    </row>
    <row r="234" spans="4:51" x14ac:dyDescent="0.3">
      <c r="D234" t="str">
        <f t="shared" ca="1" si="60"/>
        <v/>
      </c>
      <c r="E234" t="str" cm="1">
        <f t="array" aca="1" ref="E234" ca="1">_xlfn.IFS(D234="","",D234="Starstone", VLOOKUP($BK$4,$BK$6:$BM$11,3)*AI237*AJ237, D234 = "Tristal", VLOOKUP($BK$14,$BK$16:$BM$24,3)*AI237*AJ237, 1=1, VLOOKUP(AO237,$AX$75:$AZ$174,3)*AI237*AJ237)</f>
        <v/>
      </c>
      <c r="F234" t="str" cm="1">
        <f t="array" aca="1" ref="F234" ca="1">IF(D234="","",_xlfn.IFS(AH237&gt;5,"Normal",AND(AH237&lt;=5,$BK$28&lt;=4),VLOOKUP(AF237,$BK$29:$BN$39,2),AND(AH237&lt;=5,$BK$28&gt;=9),VLOOKUP(AF237,$BK$29:$BN$39,2), 1=1, "Normal"))</f>
        <v/>
      </c>
      <c r="G234" t="str" cm="1">
        <f t="array" aca="1" ref="G234" ca="1">IF(D234="","",_xlfn.IFS(AH237&gt;5, "Normal", AND(AH237&lt;=5, $BL$28&lt;=8, $BL$28&gt;=5), VLOOKUP(AG237,$BK$29:$BN$39,3), AND(AH237&lt;=5,$BK$28&gt;=9), VLOOKUP(AG237,$BK$29:$BN$39,3), 1=1, "Normal"))</f>
        <v/>
      </c>
      <c r="H234" t="str">
        <f t="shared" ca="1" si="57"/>
        <v/>
      </c>
      <c r="I234" t="str">
        <f t="shared" ca="1" si="58"/>
        <v/>
      </c>
      <c r="K234" t="str" cm="1">
        <f t="array" aca="1" ref="K234" ca="1">IF(L234="","",(_xlfn.IFS(L234&gt;=15000,VLOOKUP(AW237,$BE$5:$BH$15,4),L234&gt;=4000,VLOOKUP(AW237,$BE$5:$BH$15,3),L234&gt;=100,VLOOKUP(AW237,$BE$5:$BH$15,2))))</f>
        <v/>
      </c>
      <c r="L234" t="str">
        <f t="shared" ca="1" si="59"/>
        <v/>
      </c>
      <c r="AF234" s="1">
        <f t="shared" ca="1" si="63"/>
        <v>9</v>
      </c>
      <c r="AG234" s="1">
        <f t="shared" ca="1" si="63"/>
        <v>7</v>
      </c>
      <c r="AH234" s="1"/>
      <c r="AI234" s="1">
        <f t="shared" ca="1" si="61"/>
        <v>4</v>
      </c>
      <c r="AJ234" s="1">
        <f t="shared" ca="1" si="62"/>
        <v>2</v>
      </c>
      <c r="AO234" s="1">
        <f t="shared" ca="1" si="64"/>
        <v>3</v>
      </c>
      <c r="AP234" s="1">
        <f t="shared" ca="1" si="65"/>
        <v>-158</v>
      </c>
      <c r="AS234" s="1">
        <f t="shared" ca="1" si="66"/>
        <v>91</v>
      </c>
      <c r="AV234" s="1">
        <f t="shared" ca="1" si="67"/>
        <v>-215</v>
      </c>
      <c r="AW234" s="1">
        <f t="shared" ca="1" si="68"/>
        <v>6</v>
      </c>
      <c r="AX234">
        <v>58</v>
      </c>
      <c r="AY234">
        <v>5000</v>
      </c>
    </row>
    <row r="235" spans="4:51" x14ac:dyDescent="0.3">
      <c r="D235" t="str">
        <f t="shared" ca="1" si="60"/>
        <v/>
      </c>
      <c r="E235" t="str" cm="1">
        <f t="array" aca="1" ref="E235" ca="1">_xlfn.IFS(D235="","",D235="Starstone", VLOOKUP($BK$4,$BK$6:$BM$11,3)*AI238*AJ238, D235 = "Tristal", VLOOKUP($BK$14,$BK$16:$BM$24,3)*AI238*AJ238, 1=1, VLOOKUP(AO238,$AX$75:$AZ$174,3)*AI238*AJ238)</f>
        <v/>
      </c>
      <c r="F235" t="str" cm="1">
        <f t="array" aca="1" ref="F235" ca="1">IF(D235="","",_xlfn.IFS(AH238&gt;5,"Normal",AND(AH238&lt;=5,$BK$28&lt;=4),VLOOKUP(AF238,$BK$29:$BN$39,2),AND(AH238&lt;=5,$BK$28&gt;=9),VLOOKUP(AF238,$BK$29:$BN$39,2), 1=1, "Normal"))</f>
        <v/>
      </c>
      <c r="G235" t="str" cm="1">
        <f t="array" aca="1" ref="G235" ca="1">IF(D235="","",_xlfn.IFS(AH238&gt;5, "Normal", AND(AH238&lt;=5, $BL$28&lt;=8, $BL$28&gt;=5), VLOOKUP(AG238,$BK$29:$BN$39,3), AND(AH238&lt;=5,$BK$28&gt;=9), VLOOKUP(AG238,$BK$29:$BN$39,3), 1=1, "Normal"))</f>
        <v/>
      </c>
      <c r="H235" t="str">
        <f t="shared" ca="1" si="57"/>
        <v/>
      </c>
      <c r="I235" t="str">
        <f t="shared" ca="1" si="58"/>
        <v/>
      </c>
      <c r="K235" t="str" cm="1">
        <f t="array" aca="1" ref="K235" ca="1">IF(L235="","",(_xlfn.IFS(L235&gt;=15000,VLOOKUP(AW238,$BE$5:$BH$15,4),L235&gt;=4000,VLOOKUP(AW238,$BE$5:$BH$15,3),L235&gt;=100,VLOOKUP(AW238,$BE$5:$BH$15,2))))</f>
        <v/>
      </c>
      <c r="L235" t="str">
        <f t="shared" ca="1" si="59"/>
        <v/>
      </c>
      <c r="AF235" s="1">
        <f t="shared" ca="1" si="63"/>
        <v>5</v>
      </c>
      <c r="AG235" s="1">
        <f t="shared" ca="1" si="63"/>
        <v>2</v>
      </c>
      <c r="AH235" s="1"/>
      <c r="AI235" s="1">
        <f t="shared" ca="1" si="61"/>
        <v>0.5</v>
      </c>
      <c r="AJ235" s="1">
        <f t="shared" ca="1" si="62"/>
        <v>0.25</v>
      </c>
      <c r="AO235" s="1">
        <f t="shared" ca="1" si="64"/>
        <v>14</v>
      </c>
      <c r="AP235" s="1">
        <f t="shared" ca="1" si="65"/>
        <v>-159</v>
      </c>
      <c r="AS235" s="1">
        <f t="shared" ca="1" si="66"/>
        <v>35</v>
      </c>
      <c r="AV235" s="1">
        <f t="shared" ca="1" si="67"/>
        <v>-216</v>
      </c>
      <c r="AW235" s="1">
        <f t="shared" ca="1" si="68"/>
        <v>5</v>
      </c>
      <c r="AX235">
        <v>59</v>
      </c>
      <c r="AY235">
        <v>7500</v>
      </c>
    </row>
    <row r="236" spans="4:51" x14ac:dyDescent="0.3">
      <c r="D236" t="str">
        <f t="shared" ca="1" si="60"/>
        <v/>
      </c>
      <c r="E236" t="str" cm="1">
        <f t="array" aca="1" ref="E236" ca="1">_xlfn.IFS(D236="","",D236="Starstone", VLOOKUP($BK$4,$BK$6:$BM$11,3)*AI239*AJ239, D236 = "Tristal", VLOOKUP($BK$14,$BK$16:$BM$24,3)*AI239*AJ239, 1=1, VLOOKUP(AO239,$AX$75:$AZ$174,3)*AI239*AJ239)</f>
        <v/>
      </c>
      <c r="F236" t="str" cm="1">
        <f t="array" aca="1" ref="F236" ca="1">IF(D236="","",_xlfn.IFS(AH239&gt;5,"Normal",AND(AH239&lt;=5,$BK$28&lt;=4),VLOOKUP(AF239,$BK$29:$BN$39,2),AND(AH239&lt;=5,$BK$28&gt;=9),VLOOKUP(AF239,$BK$29:$BN$39,2), 1=1, "Normal"))</f>
        <v/>
      </c>
      <c r="G236" t="str" cm="1">
        <f t="array" aca="1" ref="G236" ca="1">IF(D236="","",_xlfn.IFS(AH239&gt;5, "Normal", AND(AH239&lt;=5, $BL$28&lt;=8, $BL$28&gt;=5), VLOOKUP(AG239,$BK$29:$BN$39,3), AND(AH239&lt;=5,$BK$28&gt;=9), VLOOKUP(AG239,$BK$29:$BN$39,3), 1=1, "Normal"))</f>
        <v/>
      </c>
      <c r="H236" t="str">
        <f t="shared" ca="1" si="57"/>
        <v/>
      </c>
      <c r="I236" t="str">
        <f t="shared" ca="1" si="58"/>
        <v/>
      </c>
      <c r="K236" t="str" cm="1">
        <f t="array" aca="1" ref="K236" ca="1">IF(L236="","",(_xlfn.IFS(L236&gt;=15000,VLOOKUP(AW239,$BE$5:$BH$15,4),L236&gt;=4000,VLOOKUP(AW239,$BE$5:$BH$15,3),L236&gt;=100,VLOOKUP(AW239,$BE$5:$BH$15,2))))</f>
        <v/>
      </c>
      <c r="L236" t="str">
        <f t="shared" ca="1" si="59"/>
        <v/>
      </c>
      <c r="AF236" s="1">
        <f t="shared" ca="1" si="63"/>
        <v>1</v>
      </c>
      <c r="AG236" s="1">
        <f t="shared" ca="1" si="63"/>
        <v>8</v>
      </c>
      <c r="AH236" s="1"/>
      <c r="AI236" s="1">
        <f t="shared" ca="1" si="61"/>
        <v>0.125</v>
      </c>
      <c r="AJ236" s="1">
        <f t="shared" ca="1" si="62"/>
        <v>4</v>
      </c>
      <c r="AO236" s="1">
        <f t="shared" ca="1" si="64"/>
        <v>62</v>
      </c>
      <c r="AP236" s="1">
        <f t="shared" ca="1" si="65"/>
        <v>-160</v>
      </c>
      <c r="AS236" s="1">
        <f t="shared" ca="1" si="66"/>
        <v>100</v>
      </c>
      <c r="AV236" s="1">
        <f t="shared" ca="1" si="67"/>
        <v>-217</v>
      </c>
      <c r="AW236" s="1">
        <f t="shared" ca="1" si="68"/>
        <v>5</v>
      </c>
      <c r="AX236">
        <v>60</v>
      </c>
      <c r="AY236">
        <v>7500</v>
      </c>
    </row>
    <row r="237" spans="4:51" x14ac:dyDescent="0.3">
      <c r="D237" t="str">
        <f t="shared" ca="1" si="60"/>
        <v/>
      </c>
      <c r="E237" t="str" cm="1">
        <f t="array" aca="1" ref="E237" ca="1">_xlfn.IFS(D237="","",D237="Starstone", VLOOKUP($BK$4,$BK$6:$BM$11,3)*AI240*AJ240, D237 = "Tristal", VLOOKUP($BK$14,$BK$16:$BM$24,3)*AI240*AJ240, 1=1, VLOOKUP(AO240,$AX$75:$AZ$174,3)*AI240*AJ240)</f>
        <v/>
      </c>
      <c r="F237" t="str" cm="1">
        <f t="array" aca="1" ref="F237" ca="1">IF(D237="","",_xlfn.IFS(AH240&gt;5,"Normal",AND(AH240&lt;=5,$BK$28&lt;=4),VLOOKUP(AF240,$BK$29:$BN$39,2),AND(AH240&lt;=5,$BK$28&gt;=9),VLOOKUP(AF240,$BK$29:$BN$39,2), 1=1, "Normal"))</f>
        <v/>
      </c>
      <c r="G237" t="str" cm="1">
        <f t="array" aca="1" ref="G237" ca="1">IF(D237="","",_xlfn.IFS(AH240&gt;5, "Normal", AND(AH240&lt;=5, $BL$28&lt;=8, $BL$28&gt;=5), VLOOKUP(AG240,$BK$29:$BN$39,3), AND(AH240&lt;=5,$BK$28&gt;=9), VLOOKUP(AG240,$BK$29:$BN$39,3), 1=1, "Normal"))</f>
        <v/>
      </c>
      <c r="H237" t="str">
        <f t="shared" ca="1" si="57"/>
        <v/>
      </c>
      <c r="I237" t="str">
        <f t="shared" ca="1" si="58"/>
        <v/>
      </c>
      <c r="K237" t="str" cm="1">
        <f t="array" aca="1" ref="K237" ca="1">IF(L237="","",(_xlfn.IFS(L237&gt;=15000,VLOOKUP(AW240,$BE$5:$BH$15,4),L237&gt;=4000,VLOOKUP(AW240,$BE$5:$BH$15,3),L237&gt;=100,VLOOKUP(AW240,$BE$5:$BH$15,2))))</f>
        <v/>
      </c>
      <c r="L237" t="str">
        <f t="shared" ca="1" si="59"/>
        <v/>
      </c>
      <c r="AF237" s="1">
        <f t="shared" ca="1" si="63"/>
        <v>6</v>
      </c>
      <c r="AG237" s="1">
        <f t="shared" ca="1" si="63"/>
        <v>3</v>
      </c>
      <c r="AH237" s="1"/>
      <c r="AI237" s="1">
        <f t="shared" ca="1" si="61"/>
        <v>2</v>
      </c>
      <c r="AJ237" s="1">
        <f t="shared" ca="1" si="62"/>
        <v>0.25</v>
      </c>
      <c r="AO237" s="1">
        <f t="shared" ca="1" si="64"/>
        <v>37</v>
      </c>
      <c r="AP237" s="1">
        <f t="shared" ca="1" si="65"/>
        <v>-161</v>
      </c>
      <c r="AS237" s="1">
        <f t="shared" ca="1" si="66"/>
        <v>77</v>
      </c>
      <c r="AV237" s="1">
        <f t="shared" ca="1" si="67"/>
        <v>-218</v>
      </c>
      <c r="AW237" s="1">
        <f t="shared" ca="1" si="68"/>
        <v>10</v>
      </c>
      <c r="AX237">
        <v>61</v>
      </c>
      <c r="AY237">
        <v>7500</v>
      </c>
    </row>
    <row r="238" spans="4:51" x14ac:dyDescent="0.3">
      <c r="D238" t="str">
        <f t="shared" ca="1" si="60"/>
        <v/>
      </c>
      <c r="E238" t="str" cm="1">
        <f t="array" aca="1" ref="E238" ca="1">_xlfn.IFS(D238="","",D238="Starstone", VLOOKUP($BK$4,$BK$6:$BM$11,3)*AI241*AJ241, D238 = "Tristal", VLOOKUP($BK$14,$BK$16:$BM$24,3)*AI241*AJ241, 1=1, VLOOKUP(AO241,$AX$75:$AZ$174,3)*AI241*AJ241)</f>
        <v/>
      </c>
      <c r="F238" t="str" cm="1">
        <f t="array" aca="1" ref="F238" ca="1">IF(D238="","",_xlfn.IFS(AH241&gt;5,"Normal",AND(AH241&lt;=5,$BK$28&lt;=4),VLOOKUP(AF241,$BK$29:$BN$39,2),AND(AH241&lt;=5,$BK$28&gt;=9),VLOOKUP(AF241,$BK$29:$BN$39,2), 1=1, "Normal"))</f>
        <v/>
      </c>
      <c r="G238" t="str" cm="1">
        <f t="array" aca="1" ref="G238" ca="1">IF(D238="","",_xlfn.IFS(AH241&gt;5, "Normal", AND(AH241&lt;=5, $BL$28&lt;=8, $BL$28&gt;=5), VLOOKUP(AG241,$BK$29:$BN$39,3), AND(AH241&lt;=5,$BK$28&gt;=9), VLOOKUP(AG241,$BK$29:$BN$39,3), 1=1, "Normal"))</f>
        <v/>
      </c>
      <c r="H238" t="str">
        <f t="shared" ca="1" si="57"/>
        <v/>
      </c>
      <c r="I238" t="str">
        <f t="shared" ca="1" si="58"/>
        <v/>
      </c>
      <c r="K238" t="str" cm="1">
        <f t="array" aca="1" ref="K238" ca="1">IF(L238="","",(_xlfn.IFS(L238&gt;=15000,VLOOKUP(AW241,$BE$5:$BH$15,4),L238&gt;=4000,VLOOKUP(AW241,$BE$5:$BH$15,3),L238&gt;=100,VLOOKUP(AW241,$BE$5:$BH$15,2))))</f>
        <v/>
      </c>
      <c r="L238" t="str">
        <f t="shared" ca="1" si="59"/>
        <v/>
      </c>
      <c r="AF238" s="1">
        <f t="shared" ca="1" si="63"/>
        <v>6</v>
      </c>
      <c r="AG238" s="1">
        <f t="shared" ca="1" si="63"/>
        <v>2</v>
      </c>
      <c r="AH238" s="1"/>
      <c r="AI238" s="1">
        <f t="shared" ca="1" si="61"/>
        <v>2</v>
      </c>
      <c r="AJ238" s="1">
        <f t="shared" ca="1" si="62"/>
        <v>0.25</v>
      </c>
      <c r="AO238" s="1">
        <f t="shared" ca="1" si="64"/>
        <v>52</v>
      </c>
      <c r="AP238" s="1">
        <f t="shared" ca="1" si="65"/>
        <v>-162</v>
      </c>
      <c r="AS238" s="1">
        <f t="shared" ca="1" si="66"/>
        <v>29</v>
      </c>
      <c r="AV238" s="1">
        <f t="shared" ca="1" si="67"/>
        <v>-219</v>
      </c>
      <c r="AW238" s="1">
        <f t="shared" ca="1" si="68"/>
        <v>10</v>
      </c>
      <c r="AX238">
        <v>62</v>
      </c>
      <c r="AY238">
        <v>7500</v>
      </c>
    </row>
    <row r="239" spans="4:51" x14ac:dyDescent="0.3">
      <c r="D239" t="str">
        <f t="shared" ca="1" si="60"/>
        <v/>
      </c>
      <c r="E239" t="str" cm="1">
        <f t="array" aca="1" ref="E239" ca="1">_xlfn.IFS(D239="","",D239="Starstone", VLOOKUP($BK$4,$BK$6:$BM$11,3)*AI242*AJ242, D239 = "Tristal", VLOOKUP($BK$14,$BK$16:$BM$24,3)*AI242*AJ242, 1=1, VLOOKUP(AO242,$AX$75:$AZ$174,3)*AI242*AJ242)</f>
        <v/>
      </c>
      <c r="F239" t="str" cm="1">
        <f t="array" aca="1" ref="F239" ca="1">IF(D239="","",_xlfn.IFS(AH242&gt;5,"Normal",AND(AH242&lt;=5,$BK$28&lt;=4),VLOOKUP(AF242,$BK$29:$BN$39,2),AND(AH242&lt;=5,$BK$28&gt;=9),VLOOKUP(AF242,$BK$29:$BN$39,2), 1=1, "Normal"))</f>
        <v/>
      </c>
      <c r="G239" t="str" cm="1">
        <f t="array" aca="1" ref="G239" ca="1">IF(D239="","",_xlfn.IFS(AH242&gt;5, "Normal", AND(AH242&lt;=5, $BL$28&lt;=8, $BL$28&gt;=5), VLOOKUP(AG242,$BK$29:$BN$39,3), AND(AH242&lt;=5,$BK$28&gt;=9), VLOOKUP(AG242,$BK$29:$BN$39,3), 1=1, "Normal"))</f>
        <v/>
      </c>
      <c r="H239" t="str">
        <f t="shared" ca="1" si="57"/>
        <v/>
      </c>
      <c r="I239" t="str">
        <f t="shared" ca="1" si="58"/>
        <v/>
      </c>
      <c r="K239" t="str" cm="1">
        <f t="array" aca="1" ref="K239" ca="1">IF(L239="","",(_xlfn.IFS(L239&gt;=15000,VLOOKUP(AW242,$BE$5:$BH$15,4),L239&gt;=4000,VLOOKUP(AW242,$BE$5:$BH$15,3),L239&gt;=100,VLOOKUP(AW242,$BE$5:$BH$15,2))))</f>
        <v/>
      </c>
      <c r="L239" t="str">
        <f t="shared" ca="1" si="59"/>
        <v/>
      </c>
      <c r="AF239" s="1">
        <f t="shared" ca="1" si="63"/>
        <v>7</v>
      </c>
      <c r="AG239" s="1">
        <f t="shared" ca="1" si="63"/>
        <v>9</v>
      </c>
      <c r="AH239" s="1"/>
      <c r="AI239" s="1">
        <f t="shared" ca="1" si="61"/>
        <v>2</v>
      </c>
      <c r="AJ239" s="1">
        <f t="shared" ca="1" si="62"/>
        <v>4</v>
      </c>
      <c r="AO239" s="1">
        <f t="shared" ca="1" si="64"/>
        <v>98</v>
      </c>
      <c r="AP239" s="1">
        <f t="shared" ca="1" si="65"/>
        <v>-163</v>
      </c>
      <c r="AS239" s="1">
        <f t="shared" ca="1" si="66"/>
        <v>78</v>
      </c>
      <c r="AV239" s="1">
        <f t="shared" ca="1" si="67"/>
        <v>-220</v>
      </c>
      <c r="AW239" s="1">
        <f t="shared" ca="1" si="68"/>
        <v>7</v>
      </c>
      <c r="AX239">
        <v>63</v>
      </c>
      <c r="AY239">
        <v>7500</v>
      </c>
    </row>
    <row r="240" spans="4:51" x14ac:dyDescent="0.3">
      <c r="D240" t="str">
        <f t="shared" ca="1" si="60"/>
        <v/>
      </c>
      <c r="E240" t="str" cm="1">
        <f t="array" aca="1" ref="E240" ca="1">_xlfn.IFS(D240="","",D240="Starstone", VLOOKUP($BK$4,$BK$6:$BM$11,3)*AI243*AJ243, D240 = "Tristal", VLOOKUP($BK$14,$BK$16:$BM$24,3)*AI243*AJ243, 1=1, VLOOKUP(AO243,$AX$75:$AZ$174,3)*AI243*AJ243)</f>
        <v/>
      </c>
      <c r="F240" t="str" cm="1">
        <f t="array" aca="1" ref="F240" ca="1">IF(D240="","",_xlfn.IFS(AH243&gt;5,"Normal",AND(AH243&lt;=5,$BK$28&lt;=4),VLOOKUP(AF243,$BK$29:$BN$39,2),AND(AH243&lt;=5,$BK$28&gt;=9),VLOOKUP(AF243,$BK$29:$BN$39,2), 1=1, "Normal"))</f>
        <v/>
      </c>
      <c r="G240" t="str" cm="1">
        <f t="array" aca="1" ref="G240" ca="1">IF(D240="","",_xlfn.IFS(AH243&gt;5, "Normal", AND(AH243&lt;=5, $BL$28&lt;=8, $BL$28&gt;=5), VLOOKUP(AG243,$BK$29:$BN$39,3), AND(AH243&lt;=5,$BK$28&gt;=9), VLOOKUP(AG243,$BK$29:$BN$39,3), 1=1, "Normal"))</f>
        <v/>
      </c>
      <c r="H240" t="str">
        <f t="shared" ca="1" si="57"/>
        <v/>
      </c>
      <c r="I240" t="str">
        <f t="shared" ca="1" si="58"/>
        <v/>
      </c>
      <c r="K240" t="str" cm="1">
        <f t="array" aca="1" ref="K240" ca="1">IF(L240="","",(_xlfn.IFS(L240&gt;=15000,VLOOKUP(AW243,$BE$5:$BH$15,4),L240&gt;=4000,VLOOKUP(AW243,$BE$5:$BH$15,3),L240&gt;=100,VLOOKUP(AW243,$BE$5:$BH$15,2))))</f>
        <v/>
      </c>
      <c r="L240" t="str">
        <f t="shared" ca="1" si="59"/>
        <v/>
      </c>
      <c r="AF240" s="1">
        <f t="shared" ca="1" si="63"/>
        <v>1</v>
      </c>
      <c r="AG240" s="1">
        <f t="shared" ca="1" si="63"/>
        <v>5</v>
      </c>
      <c r="AH240" s="1"/>
      <c r="AI240" s="1">
        <f t="shared" ca="1" si="61"/>
        <v>0.125</v>
      </c>
      <c r="AJ240" s="1">
        <f t="shared" ca="1" si="62"/>
        <v>0.5</v>
      </c>
      <c r="AO240" s="1">
        <f t="shared" ca="1" si="64"/>
        <v>56</v>
      </c>
      <c r="AP240" s="1">
        <f t="shared" ca="1" si="65"/>
        <v>-164</v>
      </c>
      <c r="AS240" s="1">
        <f t="shared" ca="1" si="66"/>
        <v>72</v>
      </c>
      <c r="AV240" s="1">
        <f t="shared" ca="1" si="67"/>
        <v>-221</v>
      </c>
      <c r="AW240" s="1">
        <f t="shared" ca="1" si="68"/>
        <v>9</v>
      </c>
      <c r="AX240">
        <v>64</v>
      </c>
      <c r="AY240">
        <v>7500</v>
      </c>
    </row>
    <row r="241" spans="4:51" x14ac:dyDescent="0.3">
      <c r="D241" t="str">
        <f t="shared" ca="1" si="60"/>
        <v/>
      </c>
      <c r="E241" t="str" cm="1">
        <f t="array" aca="1" ref="E241" ca="1">_xlfn.IFS(D241="","",D241="Starstone", VLOOKUP($BK$4,$BK$6:$BM$11,3)*AI244*AJ244, D241 = "Tristal", VLOOKUP($BK$14,$BK$16:$BM$24,3)*AI244*AJ244, 1=1, VLOOKUP(AO244,$AX$75:$AZ$174,3)*AI244*AJ244)</f>
        <v/>
      </c>
      <c r="F241" t="str" cm="1">
        <f t="array" aca="1" ref="F241" ca="1">IF(D241="","",_xlfn.IFS(AH244&gt;5,"Normal",AND(AH244&lt;=5,$BK$28&lt;=4),VLOOKUP(AF244,$BK$29:$BN$39,2),AND(AH244&lt;=5,$BK$28&gt;=9),VLOOKUP(AF244,$BK$29:$BN$39,2), 1=1, "Normal"))</f>
        <v/>
      </c>
      <c r="G241" t="str" cm="1">
        <f t="array" aca="1" ref="G241" ca="1">IF(D241="","",_xlfn.IFS(AH244&gt;5, "Normal", AND(AH244&lt;=5, $BL$28&lt;=8, $BL$28&gt;=5), VLOOKUP(AG244,$BK$29:$BN$39,3), AND(AH244&lt;=5,$BK$28&gt;=9), VLOOKUP(AG244,$BK$29:$BN$39,3), 1=1, "Normal"))</f>
        <v/>
      </c>
      <c r="H241" t="str">
        <f t="shared" ca="1" si="57"/>
        <v/>
      </c>
      <c r="I241" t="str">
        <f t="shared" ca="1" si="58"/>
        <v/>
      </c>
      <c r="K241" t="str" cm="1">
        <f t="array" aca="1" ref="K241" ca="1">IF(L241="","",(_xlfn.IFS(L241&gt;=15000,VLOOKUP(AW244,$BE$5:$BH$15,4),L241&gt;=4000,VLOOKUP(AW244,$BE$5:$BH$15,3),L241&gt;=100,VLOOKUP(AW244,$BE$5:$BH$15,2))))</f>
        <v/>
      </c>
      <c r="L241" t="str">
        <f t="shared" ca="1" si="59"/>
        <v/>
      </c>
      <c r="AF241" s="1">
        <f t="shared" ca="1" si="63"/>
        <v>8</v>
      </c>
      <c r="AG241" s="1">
        <f t="shared" ca="1" si="63"/>
        <v>10</v>
      </c>
      <c r="AH241" s="1"/>
      <c r="AI241" s="1">
        <f t="shared" ca="1" si="61"/>
        <v>4</v>
      </c>
      <c r="AJ241" s="1">
        <f t="shared" ca="1" si="62"/>
        <v>8</v>
      </c>
      <c r="AO241" s="1">
        <f t="shared" ca="1" si="64"/>
        <v>91</v>
      </c>
      <c r="AP241" s="1">
        <f t="shared" ca="1" si="65"/>
        <v>-165</v>
      </c>
      <c r="AS241" s="1">
        <f t="shared" ca="1" si="66"/>
        <v>70</v>
      </c>
      <c r="AV241" s="1">
        <f t="shared" ca="1" si="67"/>
        <v>-222</v>
      </c>
      <c r="AW241" s="1">
        <f t="shared" ca="1" si="68"/>
        <v>9</v>
      </c>
      <c r="AX241">
        <v>65</v>
      </c>
      <c r="AY241">
        <v>7500</v>
      </c>
    </row>
    <row r="242" spans="4:51" x14ac:dyDescent="0.3">
      <c r="D242" t="str">
        <f t="shared" ca="1" si="60"/>
        <v/>
      </c>
      <c r="E242" t="str" cm="1">
        <f t="array" aca="1" ref="E242" ca="1">_xlfn.IFS(D242="","",D242="Starstone", VLOOKUP($BK$4,$BK$6:$BM$11,3)*AI245*AJ245, D242 = "Tristal", VLOOKUP($BK$14,$BK$16:$BM$24,3)*AI245*AJ245, 1=1, VLOOKUP(AO245,$AX$75:$AZ$174,3)*AI245*AJ245)</f>
        <v/>
      </c>
      <c r="F242" t="str" cm="1">
        <f t="array" aca="1" ref="F242" ca="1">IF(D242="","",_xlfn.IFS(AH245&gt;5,"Normal",AND(AH245&lt;=5,$BK$28&lt;=4),VLOOKUP(AF245,$BK$29:$BN$39,2),AND(AH245&lt;=5,$BK$28&gt;=9),VLOOKUP(AF245,$BK$29:$BN$39,2), 1=1, "Normal"))</f>
        <v/>
      </c>
      <c r="G242" t="str" cm="1">
        <f t="array" aca="1" ref="G242" ca="1">IF(D242="","",_xlfn.IFS(AH245&gt;5, "Normal", AND(AH245&lt;=5, $BL$28&lt;=8, $BL$28&gt;=5), VLOOKUP(AG245,$BK$29:$BN$39,3), AND(AH245&lt;=5,$BK$28&gt;=9), VLOOKUP(AG245,$BK$29:$BN$39,3), 1=1, "Normal"))</f>
        <v/>
      </c>
      <c r="H242" t="str">
        <f t="shared" ca="1" si="57"/>
        <v/>
      </c>
      <c r="I242" t="str">
        <f t="shared" ca="1" si="58"/>
        <v/>
      </c>
      <c r="K242" t="str" cm="1">
        <f t="array" aca="1" ref="K242" ca="1">IF(L242="","",(_xlfn.IFS(L242&gt;=15000,VLOOKUP(AW245,$BE$5:$BH$15,4),L242&gt;=4000,VLOOKUP(AW245,$BE$5:$BH$15,3),L242&gt;=100,VLOOKUP(AW245,$BE$5:$BH$15,2))))</f>
        <v/>
      </c>
      <c r="L242" t="str">
        <f t="shared" ca="1" si="59"/>
        <v/>
      </c>
      <c r="AF242" s="1">
        <f t="shared" ca="1" si="63"/>
        <v>9</v>
      </c>
      <c r="AG242" s="1">
        <f t="shared" ca="1" si="63"/>
        <v>7</v>
      </c>
      <c r="AH242" s="1"/>
      <c r="AI242" s="1">
        <f t="shared" ca="1" si="61"/>
        <v>4</v>
      </c>
      <c r="AJ242" s="1">
        <f t="shared" ca="1" si="62"/>
        <v>2</v>
      </c>
      <c r="AO242" s="1">
        <f t="shared" ca="1" si="64"/>
        <v>100</v>
      </c>
      <c r="AP242" s="1">
        <f t="shared" ca="1" si="65"/>
        <v>-166</v>
      </c>
      <c r="AS242" s="1">
        <f t="shared" ca="1" si="66"/>
        <v>23</v>
      </c>
      <c r="AV242" s="1">
        <f t="shared" ca="1" si="67"/>
        <v>-223</v>
      </c>
      <c r="AW242" s="1">
        <f t="shared" ca="1" si="68"/>
        <v>10</v>
      </c>
      <c r="AX242">
        <v>66</v>
      </c>
      <c r="AY242">
        <v>7500</v>
      </c>
    </row>
    <row r="243" spans="4:51" x14ac:dyDescent="0.3">
      <c r="D243" t="str">
        <f t="shared" ca="1" si="60"/>
        <v/>
      </c>
      <c r="E243" t="str" cm="1">
        <f t="array" aca="1" ref="E243" ca="1">_xlfn.IFS(D243="","",D243="Starstone", VLOOKUP($BK$4,$BK$6:$BM$11,3)*AI246*AJ246, D243 = "Tristal", VLOOKUP($BK$14,$BK$16:$BM$24,3)*AI246*AJ246, 1=1, VLOOKUP(AO246,$AX$75:$AZ$174,3)*AI246*AJ246)</f>
        <v/>
      </c>
      <c r="F243" t="str" cm="1">
        <f t="array" aca="1" ref="F243" ca="1">IF(D243="","",_xlfn.IFS(AH246&gt;5,"Normal",AND(AH246&lt;=5,$BK$28&lt;=4),VLOOKUP(AF246,$BK$29:$BN$39,2),AND(AH246&lt;=5,$BK$28&gt;=9),VLOOKUP(AF246,$BK$29:$BN$39,2), 1=1, "Normal"))</f>
        <v/>
      </c>
      <c r="G243" t="str" cm="1">
        <f t="array" aca="1" ref="G243" ca="1">IF(D243="","",_xlfn.IFS(AH246&gt;5, "Normal", AND(AH246&lt;=5, $BL$28&lt;=8, $BL$28&gt;=5), VLOOKUP(AG246,$BK$29:$BN$39,3), AND(AH246&lt;=5,$BK$28&gt;=9), VLOOKUP(AG246,$BK$29:$BN$39,3), 1=1, "Normal"))</f>
        <v/>
      </c>
      <c r="H243" t="str">
        <f t="shared" ca="1" si="57"/>
        <v/>
      </c>
      <c r="I243" t="str">
        <f t="shared" ca="1" si="58"/>
        <v/>
      </c>
      <c r="K243" t="str" cm="1">
        <f t="array" aca="1" ref="K243" ca="1">IF(L243="","",(_xlfn.IFS(L243&gt;=15000,VLOOKUP(AW246,$BE$5:$BH$15,4),L243&gt;=4000,VLOOKUP(AW246,$BE$5:$BH$15,3),L243&gt;=100,VLOOKUP(AW246,$BE$5:$BH$15,2))))</f>
        <v/>
      </c>
      <c r="L243" t="str">
        <f t="shared" ca="1" si="59"/>
        <v/>
      </c>
      <c r="AF243" s="1">
        <f t="shared" ca="1" si="63"/>
        <v>3</v>
      </c>
      <c r="AG243" s="1">
        <f t="shared" ca="1" si="63"/>
        <v>8</v>
      </c>
      <c r="AH243" s="1"/>
      <c r="AI243" s="1">
        <f t="shared" ca="1" si="61"/>
        <v>0.25</v>
      </c>
      <c r="AJ243" s="1">
        <f t="shared" ca="1" si="62"/>
        <v>4</v>
      </c>
      <c r="AO243" s="1">
        <f t="shared" ca="1" si="64"/>
        <v>60</v>
      </c>
      <c r="AP243" s="1">
        <f t="shared" ca="1" si="65"/>
        <v>-167</v>
      </c>
      <c r="AS243" s="1">
        <f t="shared" ca="1" si="66"/>
        <v>1</v>
      </c>
      <c r="AV243" s="1">
        <f t="shared" ca="1" si="67"/>
        <v>-224</v>
      </c>
      <c r="AW243" s="1">
        <f t="shared" ca="1" si="68"/>
        <v>7</v>
      </c>
      <c r="AX243">
        <v>67</v>
      </c>
      <c r="AY243">
        <v>7500</v>
      </c>
    </row>
    <row r="244" spans="4:51" x14ac:dyDescent="0.3">
      <c r="D244" t="str">
        <f t="shared" ca="1" si="60"/>
        <v/>
      </c>
      <c r="E244" t="str" cm="1">
        <f t="array" aca="1" ref="E244" ca="1">_xlfn.IFS(D244="","",D244="Starstone", VLOOKUP($BK$4,$BK$6:$BM$11,3)*AI247*AJ247, D244 = "Tristal", VLOOKUP($BK$14,$BK$16:$BM$24,3)*AI247*AJ247, 1=1, VLOOKUP(AO247,$AX$75:$AZ$174,3)*AI247*AJ247)</f>
        <v/>
      </c>
      <c r="F244" t="str" cm="1">
        <f t="array" aca="1" ref="F244" ca="1">IF(D244="","",_xlfn.IFS(AH247&gt;5,"Normal",AND(AH247&lt;=5,$BK$28&lt;=4),VLOOKUP(AF247,$BK$29:$BN$39,2),AND(AH247&lt;=5,$BK$28&gt;=9),VLOOKUP(AF247,$BK$29:$BN$39,2), 1=1, "Normal"))</f>
        <v/>
      </c>
      <c r="G244" t="str" cm="1">
        <f t="array" aca="1" ref="G244" ca="1">IF(D244="","",_xlfn.IFS(AH247&gt;5, "Normal", AND(AH247&lt;=5, $BL$28&lt;=8, $BL$28&gt;=5), VLOOKUP(AG247,$BK$29:$BN$39,3), AND(AH247&lt;=5,$BK$28&gt;=9), VLOOKUP(AG247,$BK$29:$BN$39,3), 1=1, "Normal"))</f>
        <v/>
      </c>
      <c r="H244" t="str">
        <f t="shared" ca="1" si="57"/>
        <v/>
      </c>
      <c r="I244" t="str">
        <f t="shared" ca="1" si="58"/>
        <v/>
      </c>
      <c r="K244" t="str" cm="1">
        <f t="array" aca="1" ref="K244" ca="1">IF(L244="","",(_xlfn.IFS(L244&gt;=15000,VLOOKUP(AW247,$BE$5:$BH$15,4),L244&gt;=4000,VLOOKUP(AW247,$BE$5:$BH$15,3),L244&gt;=100,VLOOKUP(AW247,$BE$5:$BH$15,2))))</f>
        <v/>
      </c>
      <c r="L244" t="str">
        <f t="shared" ca="1" si="59"/>
        <v/>
      </c>
      <c r="AF244" s="1">
        <f t="shared" ca="1" si="63"/>
        <v>6</v>
      </c>
      <c r="AG244" s="1">
        <f t="shared" ca="1" si="63"/>
        <v>10</v>
      </c>
      <c r="AH244" s="1"/>
      <c r="AI244" s="1">
        <f t="shared" ca="1" si="61"/>
        <v>2</v>
      </c>
      <c r="AJ244" s="1">
        <f t="shared" ca="1" si="62"/>
        <v>8</v>
      </c>
      <c r="AO244" s="1">
        <f t="shared" ca="1" si="64"/>
        <v>37</v>
      </c>
      <c r="AP244" s="1">
        <f t="shared" ca="1" si="65"/>
        <v>-168</v>
      </c>
      <c r="AS244" s="1">
        <f t="shared" ca="1" si="66"/>
        <v>84</v>
      </c>
      <c r="AV244" s="1">
        <f t="shared" ca="1" si="67"/>
        <v>-225</v>
      </c>
      <c r="AW244" s="1">
        <f t="shared" ca="1" si="68"/>
        <v>4</v>
      </c>
      <c r="AX244">
        <v>68</v>
      </c>
      <c r="AY244">
        <v>7500</v>
      </c>
    </row>
    <row r="245" spans="4:51" x14ac:dyDescent="0.3">
      <c r="D245" t="str">
        <f t="shared" ca="1" si="60"/>
        <v/>
      </c>
      <c r="E245" t="str" cm="1">
        <f t="array" aca="1" ref="E245" ca="1">_xlfn.IFS(D245="","",D245="Starstone", VLOOKUP($BK$4,$BK$6:$BM$11,3)*AI248*AJ248, D245 = "Tristal", VLOOKUP($BK$14,$BK$16:$BM$24,3)*AI248*AJ248, 1=1, VLOOKUP(AO248,$AX$75:$AZ$174,3)*AI248*AJ248)</f>
        <v/>
      </c>
      <c r="F245" t="str" cm="1">
        <f t="array" aca="1" ref="F245" ca="1">IF(D245="","",_xlfn.IFS(AH248&gt;5,"Normal",AND(AH248&lt;=5,$BK$28&lt;=4),VLOOKUP(AF248,$BK$29:$BN$39,2),AND(AH248&lt;=5,$BK$28&gt;=9),VLOOKUP(AF248,$BK$29:$BN$39,2), 1=1, "Normal"))</f>
        <v/>
      </c>
      <c r="G245" t="str" cm="1">
        <f t="array" aca="1" ref="G245" ca="1">IF(D245="","",_xlfn.IFS(AH248&gt;5, "Normal", AND(AH248&lt;=5, $BL$28&lt;=8, $BL$28&gt;=5), VLOOKUP(AG248,$BK$29:$BN$39,3), AND(AH248&lt;=5,$BK$28&gt;=9), VLOOKUP(AG248,$BK$29:$BN$39,3), 1=1, "Normal"))</f>
        <v/>
      </c>
      <c r="H245" t="str">
        <f t="shared" ca="1" si="57"/>
        <v/>
      </c>
      <c r="I245" t="str">
        <f t="shared" ca="1" si="58"/>
        <v/>
      </c>
      <c r="K245" t="str" cm="1">
        <f t="array" aca="1" ref="K245" ca="1">IF(L245="","",(_xlfn.IFS(L245&gt;=15000,VLOOKUP(AW248,$BE$5:$BH$15,4),L245&gt;=4000,VLOOKUP(AW248,$BE$5:$BH$15,3),L245&gt;=100,VLOOKUP(AW248,$BE$5:$BH$15,2))))</f>
        <v/>
      </c>
      <c r="L245" t="str">
        <f t="shared" ca="1" si="59"/>
        <v/>
      </c>
      <c r="AF245" s="1">
        <f t="shared" ca="1" si="63"/>
        <v>1</v>
      </c>
      <c r="AG245" s="1">
        <f t="shared" ca="1" si="63"/>
        <v>8</v>
      </c>
      <c r="AH245" s="1"/>
      <c r="AI245" s="1">
        <f t="shared" ca="1" si="61"/>
        <v>0.125</v>
      </c>
      <c r="AJ245" s="1">
        <f t="shared" ca="1" si="62"/>
        <v>4</v>
      </c>
      <c r="AO245" s="1">
        <f t="shared" ca="1" si="64"/>
        <v>65</v>
      </c>
      <c r="AP245" s="1">
        <f t="shared" ca="1" si="65"/>
        <v>-169</v>
      </c>
      <c r="AS245" s="1">
        <f t="shared" ca="1" si="66"/>
        <v>60</v>
      </c>
      <c r="AV245" s="1">
        <f t="shared" ca="1" si="67"/>
        <v>-226</v>
      </c>
      <c r="AW245" s="1">
        <f t="shared" ca="1" si="68"/>
        <v>10</v>
      </c>
      <c r="AX245">
        <v>69</v>
      </c>
      <c r="AY245">
        <v>7500</v>
      </c>
    </row>
    <row r="246" spans="4:51" x14ac:dyDescent="0.3">
      <c r="D246" t="str">
        <f t="shared" ca="1" si="60"/>
        <v/>
      </c>
      <c r="E246" t="str" cm="1">
        <f t="array" aca="1" ref="E246" ca="1">_xlfn.IFS(D246="","",D246="Starstone", VLOOKUP($BK$4,$BK$6:$BM$11,3)*AI249*AJ249, D246 = "Tristal", VLOOKUP($BK$14,$BK$16:$BM$24,3)*AI249*AJ249, 1=1, VLOOKUP(AO249,$AX$75:$AZ$174,3)*AI249*AJ249)</f>
        <v/>
      </c>
      <c r="F246" t="str" cm="1">
        <f t="array" aca="1" ref="F246" ca="1">IF(D246="","",_xlfn.IFS(AH249&gt;5,"Normal",AND(AH249&lt;=5,$BK$28&lt;=4),VLOOKUP(AF249,$BK$29:$BN$39,2),AND(AH249&lt;=5,$BK$28&gt;=9),VLOOKUP(AF249,$BK$29:$BN$39,2), 1=1, "Normal"))</f>
        <v/>
      </c>
      <c r="G246" t="str" cm="1">
        <f t="array" aca="1" ref="G246" ca="1">IF(D246="","",_xlfn.IFS(AH249&gt;5, "Normal", AND(AH249&lt;=5, $BL$28&lt;=8, $BL$28&gt;=5), VLOOKUP(AG249,$BK$29:$BN$39,3), AND(AH249&lt;=5,$BK$28&gt;=9), VLOOKUP(AG249,$BK$29:$BN$39,3), 1=1, "Normal"))</f>
        <v/>
      </c>
      <c r="H246" t="str">
        <f t="shared" ca="1" si="57"/>
        <v/>
      </c>
      <c r="I246" t="str">
        <f t="shared" ca="1" si="58"/>
        <v/>
      </c>
      <c r="K246" t="str" cm="1">
        <f t="array" aca="1" ref="K246" ca="1">IF(L246="","",(_xlfn.IFS(L246&gt;=15000,VLOOKUP(AW249,$BE$5:$BH$15,4),L246&gt;=4000,VLOOKUP(AW249,$BE$5:$BH$15,3),L246&gt;=100,VLOOKUP(AW249,$BE$5:$BH$15,2))))</f>
        <v/>
      </c>
      <c r="L246" t="str">
        <f t="shared" ca="1" si="59"/>
        <v/>
      </c>
      <c r="AF246" s="1">
        <f t="shared" ca="1" si="63"/>
        <v>6</v>
      </c>
      <c r="AG246" s="1">
        <f t="shared" ca="1" si="63"/>
        <v>6</v>
      </c>
      <c r="AH246" s="1"/>
      <c r="AI246" s="1">
        <f t="shared" ca="1" si="61"/>
        <v>2</v>
      </c>
      <c r="AJ246" s="1">
        <f t="shared" ca="1" si="62"/>
        <v>2</v>
      </c>
      <c r="AO246" s="1">
        <f t="shared" ca="1" si="64"/>
        <v>26</v>
      </c>
      <c r="AP246" s="1">
        <f t="shared" ca="1" si="65"/>
        <v>-170</v>
      </c>
      <c r="AS246" s="1">
        <f t="shared" ca="1" si="66"/>
        <v>67</v>
      </c>
      <c r="AV246" s="1">
        <f t="shared" ca="1" si="67"/>
        <v>-227</v>
      </c>
      <c r="AW246" s="1">
        <f t="shared" ca="1" si="68"/>
        <v>4</v>
      </c>
      <c r="AX246">
        <v>70</v>
      </c>
      <c r="AY246">
        <v>10000</v>
      </c>
    </row>
    <row r="247" spans="4:51" x14ac:dyDescent="0.3">
      <c r="D247" t="str">
        <f t="shared" ca="1" si="60"/>
        <v/>
      </c>
      <c r="E247" t="str" cm="1">
        <f t="array" aca="1" ref="E247" ca="1">_xlfn.IFS(D247="","",D247="Starstone", VLOOKUP($BK$4,$BK$6:$BM$11,3)*AI250*AJ250, D247 = "Tristal", VLOOKUP($BK$14,$BK$16:$BM$24,3)*AI250*AJ250, 1=1, VLOOKUP(AO250,$AX$75:$AZ$174,3)*AI250*AJ250)</f>
        <v/>
      </c>
      <c r="F247" t="str" cm="1">
        <f t="array" aca="1" ref="F247" ca="1">IF(D247="","",_xlfn.IFS(AH250&gt;5,"Normal",AND(AH250&lt;=5,$BK$28&lt;=4),VLOOKUP(AF250,$BK$29:$BN$39,2),AND(AH250&lt;=5,$BK$28&gt;=9),VLOOKUP(AF250,$BK$29:$BN$39,2), 1=1, "Normal"))</f>
        <v/>
      </c>
      <c r="G247" t="str" cm="1">
        <f t="array" aca="1" ref="G247" ca="1">IF(D247="","",_xlfn.IFS(AH250&gt;5, "Normal", AND(AH250&lt;=5, $BL$28&lt;=8, $BL$28&gt;=5), VLOOKUP(AG250,$BK$29:$BN$39,3), AND(AH250&lt;=5,$BK$28&gt;=9), VLOOKUP(AG250,$BK$29:$BN$39,3), 1=1, "Normal"))</f>
        <v/>
      </c>
      <c r="H247" t="str">
        <f t="shared" ca="1" si="57"/>
        <v/>
      </c>
      <c r="I247" t="str">
        <f t="shared" ca="1" si="58"/>
        <v/>
      </c>
      <c r="K247" t="str" cm="1">
        <f t="array" aca="1" ref="K247" ca="1">IF(L247="","",(_xlfn.IFS(L247&gt;=15000,VLOOKUP(AW250,$BE$5:$BH$15,4),L247&gt;=4000,VLOOKUP(AW250,$BE$5:$BH$15,3),L247&gt;=100,VLOOKUP(AW250,$BE$5:$BH$15,2))))</f>
        <v/>
      </c>
      <c r="L247" t="str">
        <f t="shared" ca="1" si="59"/>
        <v/>
      </c>
      <c r="AF247" s="1">
        <f t="shared" ca="1" si="63"/>
        <v>2</v>
      </c>
      <c r="AG247" s="1">
        <f t="shared" ca="1" si="63"/>
        <v>5</v>
      </c>
      <c r="AH247" s="1"/>
      <c r="AI247" s="1">
        <f t="shared" ca="1" si="61"/>
        <v>0.25</v>
      </c>
      <c r="AJ247" s="1">
        <f t="shared" ca="1" si="62"/>
        <v>0.5</v>
      </c>
      <c r="AO247" s="1">
        <f t="shared" ca="1" si="64"/>
        <v>23</v>
      </c>
      <c r="AP247" s="1">
        <f t="shared" ca="1" si="65"/>
        <v>-171</v>
      </c>
      <c r="AS247" s="1">
        <f t="shared" ca="1" si="66"/>
        <v>79</v>
      </c>
      <c r="AV247" s="1">
        <f t="shared" ca="1" si="67"/>
        <v>-228</v>
      </c>
      <c r="AW247" s="1">
        <f t="shared" ca="1" si="68"/>
        <v>6</v>
      </c>
      <c r="AX247">
        <v>71</v>
      </c>
      <c r="AY247">
        <v>10000</v>
      </c>
    </row>
    <row r="248" spans="4:51" x14ac:dyDescent="0.3">
      <c r="D248" t="str">
        <f t="shared" ca="1" si="60"/>
        <v/>
      </c>
      <c r="E248" t="str" cm="1">
        <f t="array" aca="1" ref="E248" ca="1">_xlfn.IFS(D248="","",D248="Starstone", VLOOKUP($BK$4,$BK$6:$BM$11,3)*AI251*AJ251, D248 = "Tristal", VLOOKUP($BK$14,$BK$16:$BM$24,3)*AI251*AJ251, 1=1, VLOOKUP(AO251,$AX$75:$AZ$174,3)*AI251*AJ251)</f>
        <v/>
      </c>
      <c r="F248" t="str" cm="1">
        <f t="array" aca="1" ref="F248" ca="1">IF(D248="","",_xlfn.IFS(AH251&gt;5,"Normal",AND(AH251&lt;=5,$BK$28&lt;=4),VLOOKUP(AF251,$BK$29:$BN$39,2),AND(AH251&lt;=5,$BK$28&gt;=9),VLOOKUP(AF251,$BK$29:$BN$39,2), 1=1, "Normal"))</f>
        <v/>
      </c>
      <c r="G248" t="str" cm="1">
        <f t="array" aca="1" ref="G248" ca="1">IF(D248="","",_xlfn.IFS(AH251&gt;5, "Normal", AND(AH251&lt;=5, $BL$28&lt;=8, $BL$28&gt;=5), VLOOKUP(AG251,$BK$29:$BN$39,3), AND(AH251&lt;=5,$BK$28&gt;=9), VLOOKUP(AG251,$BK$29:$BN$39,3), 1=1, "Normal"))</f>
        <v/>
      </c>
      <c r="H248" t="str">
        <f t="shared" ca="1" si="57"/>
        <v/>
      </c>
      <c r="I248" t="str">
        <f t="shared" ca="1" si="58"/>
        <v/>
      </c>
      <c r="K248" t="str" cm="1">
        <f t="array" aca="1" ref="K248" ca="1">IF(L248="","",(_xlfn.IFS(L248&gt;=15000,VLOOKUP(AW251,$BE$5:$BH$15,4),L248&gt;=4000,VLOOKUP(AW251,$BE$5:$BH$15,3),L248&gt;=100,VLOOKUP(AW251,$BE$5:$BH$15,2))))</f>
        <v/>
      </c>
      <c r="L248" t="str">
        <f t="shared" ca="1" si="59"/>
        <v/>
      </c>
      <c r="AF248" s="1">
        <f t="shared" ca="1" si="63"/>
        <v>5</v>
      </c>
      <c r="AG248" s="1">
        <f t="shared" ca="1" si="63"/>
        <v>10</v>
      </c>
      <c r="AH248" s="1"/>
      <c r="AI248" s="1">
        <f t="shared" ca="1" si="61"/>
        <v>0.5</v>
      </c>
      <c r="AJ248" s="1">
        <f t="shared" ca="1" si="62"/>
        <v>8</v>
      </c>
      <c r="AO248" s="1">
        <f t="shared" ca="1" si="64"/>
        <v>44</v>
      </c>
      <c r="AP248" s="1">
        <f t="shared" ca="1" si="65"/>
        <v>-172</v>
      </c>
      <c r="AS248" s="1">
        <f t="shared" ca="1" si="66"/>
        <v>99</v>
      </c>
      <c r="AV248" s="1">
        <f t="shared" ca="1" si="67"/>
        <v>-229</v>
      </c>
      <c r="AW248" s="1">
        <f t="shared" ca="1" si="68"/>
        <v>9</v>
      </c>
      <c r="AX248">
        <v>72</v>
      </c>
      <c r="AY248">
        <v>10000</v>
      </c>
    </row>
    <row r="249" spans="4:51" x14ac:dyDescent="0.3">
      <c r="D249" t="str">
        <f t="shared" ca="1" si="60"/>
        <v/>
      </c>
      <c r="E249" t="str" cm="1">
        <f t="array" aca="1" ref="E249" ca="1">_xlfn.IFS(D249="","",D249="Starstone", VLOOKUP($BK$4,$BK$6:$BM$11,3)*AI252*AJ252, D249 = "Tristal", VLOOKUP($BK$14,$BK$16:$BM$24,3)*AI252*AJ252, 1=1, VLOOKUP(AO252,$AX$75:$AZ$174,3)*AI252*AJ252)</f>
        <v/>
      </c>
      <c r="F249" t="str" cm="1">
        <f t="array" aca="1" ref="F249" ca="1">IF(D249="","",_xlfn.IFS(AH252&gt;5,"Normal",AND(AH252&lt;=5,$BK$28&lt;=4),VLOOKUP(AF252,$BK$29:$BN$39,2),AND(AH252&lt;=5,$BK$28&gt;=9),VLOOKUP(AF252,$BK$29:$BN$39,2), 1=1, "Normal"))</f>
        <v/>
      </c>
      <c r="G249" t="str" cm="1">
        <f t="array" aca="1" ref="G249" ca="1">IF(D249="","",_xlfn.IFS(AH252&gt;5, "Normal", AND(AH252&lt;=5, $BL$28&lt;=8, $BL$28&gt;=5), VLOOKUP(AG252,$BK$29:$BN$39,3), AND(AH252&lt;=5,$BK$28&gt;=9), VLOOKUP(AG252,$BK$29:$BN$39,3), 1=1, "Normal"))</f>
        <v/>
      </c>
      <c r="H249" t="str">
        <f t="shared" ca="1" si="57"/>
        <v/>
      </c>
      <c r="I249" t="str">
        <f t="shared" ca="1" si="58"/>
        <v/>
      </c>
      <c r="K249" t="str" cm="1">
        <f t="array" aca="1" ref="K249" ca="1">IF(L249="","",(_xlfn.IFS(L249&gt;=15000,VLOOKUP(AW252,$BE$5:$BH$15,4),L249&gt;=4000,VLOOKUP(AW252,$BE$5:$BH$15,3),L249&gt;=100,VLOOKUP(AW252,$BE$5:$BH$15,2))))</f>
        <v/>
      </c>
      <c r="L249" t="str">
        <f t="shared" ca="1" si="59"/>
        <v/>
      </c>
      <c r="AF249" s="1">
        <f t="shared" ca="1" si="63"/>
        <v>9</v>
      </c>
      <c r="AG249" s="1">
        <f t="shared" ca="1" si="63"/>
        <v>4</v>
      </c>
      <c r="AH249" s="1"/>
      <c r="AI249" s="1">
        <f t="shared" ca="1" si="61"/>
        <v>4</v>
      </c>
      <c r="AJ249" s="1">
        <f t="shared" ca="1" si="62"/>
        <v>0.5</v>
      </c>
      <c r="AO249" s="1">
        <f t="shared" ca="1" si="64"/>
        <v>23</v>
      </c>
      <c r="AP249" s="1">
        <f t="shared" ca="1" si="65"/>
        <v>-173</v>
      </c>
      <c r="AS249" s="1">
        <f t="shared" ca="1" si="66"/>
        <v>46</v>
      </c>
      <c r="AV249" s="1">
        <f t="shared" ca="1" si="67"/>
        <v>-230</v>
      </c>
      <c r="AW249" s="1">
        <f t="shared" ca="1" si="68"/>
        <v>8</v>
      </c>
      <c r="AX249">
        <v>73</v>
      </c>
      <c r="AY249">
        <v>10000</v>
      </c>
    </row>
    <row r="250" spans="4:51" x14ac:dyDescent="0.3">
      <c r="D250" t="str">
        <f t="shared" ca="1" si="60"/>
        <v/>
      </c>
      <c r="E250" t="str" cm="1">
        <f t="array" aca="1" ref="E250" ca="1">_xlfn.IFS(D250="","",D250="Starstone", VLOOKUP($BK$4,$BK$6:$BM$11,3)*AI253*AJ253, D250 = "Tristal", VLOOKUP($BK$14,$BK$16:$BM$24,3)*AI253*AJ253, 1=1, VLOOKUP(AO253,$AX$75:$AZ$174,3)*AI253*AJ253)</f>
        <v/>
      </c>
      <c r="F250" t="str" cm="1">
        <f t="array" aca="1" ref="F250" ca="1">IF(D250="","",_xlfn.IFS(AH253&gt;5,"Normal",AND(AH253&lt;=5,$BK$28&lt;=4),VLOOKUP(AF253,$BK$29:$BN$39,2),AND(AH253&lt;=5,$BK$28&gt;=9),VLOOKUP(AF253,$BK$29:$BN$39,2), 1=1, "Normal"))</f>
        <v/>
      </c>
      <c r="G250" t="str" cm="1">
        <f t="array" aca="1" ref="G250" ca="1">IF(D250="","",_xlfn.IFS(AH253&gt;5, "Normal", AND(AH253&lt;=5, $BL$28&lt;=8, $BL$28&gt;=5), VLOOKUP(AG253,$BK$29:$BN$39,3), AND(AH253&lt;=5,$BK$28&gt;=9), VLOOKUP(AG253,$BK$29:$BN$39,3), 1=1, "Normal"))</f>
        <v/>
      </c>
      <c r="H250" t="str">
        <f t="shared" ca="1" si="57"/>
        <v/>
      </c>
      <c r="I250" t="str">
        <f t="shared" ca="1" si="58"/>
        <v/>
      </c>
      <c r="K250" t="str" cm="1">
        <f t="array" aca="1" ref="K250" ca="1">IF(L250="","",(_xlfn.IFS(L250&gt;=15000,VLOOKUP(AW253,$BE$5:$BH$15,4),L250&gt;=4000,VLOOKUP(AW253,$BE$5:$BH$15,3),L250&gt;=100,VLOOKUP(AW253,$BE$5:$BH$15,2))))</f>
        <v/>
      </c>
      <c r="L250" t="str">
        <f t="shared" ca="1" si="59"/>
        <v/>
      </c>
      <c r="AF250" s="1">
        <f t="shared" ca="1" si="63"/>
        <v>7</v>
      </c>
      <c r="AG250" s="1">
        <f t="shared" ca="1" si="63"/>
        <v>1</v>
      </c>
      <c r="AH250" s="1"/>
      <c r="AI250" s="1">
        <f t="shared" ca="1" si="61"/>
        <v>2</v>
      </c>
      <c r="AJ250" s="1">
        <f t="shared" ca="1" si="62"/>
        <v>0.125</v>
      </c>
      <c r="AO250" s="1">
        <f t="shared" ca="1" si="64"/>
        <v>22</v>
      </c>
      <c r="AP250" s="1">
        <f t="shared" ca="1" si="65"/>
        <v>-174</v>
      </c>
      <c r="AS250" s="1">
        <f t="shared" ca="1" si="66"/>
        <v>67</v>
      </c>
      <c r="AV250" s="1">
        <f t="shared" ca="1" si="67"/>
        <v>-231</v>
      </c>
      <c r="AW250" s="1">
        <f t="shared" ca="1" si="68"/>
        <v>5</v>
      </c>
      <c r="AX250">
        <v>74</v>
      </c>
      <c r="AY250">
        <v>10000</v>
      </c>
    </row>
    <row r="251" spans="4:51" x14ac:dyDescent="0.3">
      <c r="D251" t="str">
        <f t="shared" ca="1" si="60"/>
        <v/>
      </c>
      <c r="E251" t="str" cm="1">
        <f t="array" aca="1" ref="E251" ca="1">_xlfn.IFS(D251="","",D251="Starstone", VLOOKUP($BK$4,$BK$6:$BM$11,3)*AI254*AJ254, D251 = "Tristal", VLOOKUP($BK$14,$BK$16:$BM$24,3)*AI254*AJ254, 1=1, VLOOKUP(AO254,$AX$75:$AZ$174,3)*AI254*AJ254)</f>
        <v/>
      </c>
      <c r="F251" t="str" cm="1">
        <f t="array" aca="1" ref="F251" ca="1">IF(D251="","",_xlfn.IFS(AH254&gt;5,"Normal",AND(AH254&lt;=5,$BK$28&lt;=4),VLOOKUP(AF254,$BK$29:$BN$39,2),AND(AH254&lt;=5,$BK$28&gt;=9),VLOOKUP(AF254,$BK$29:$BN$39,2), 1=1, "Normal"))</f>
        <v/>
      </c>
      <c r="G251" t="str" cm="1">
        <f t="array" aca="1" ref="G251" ca="1">IF(D251="","",_xlfn.IFS(AH254&gt;5, "Normal", AND(AH254&lt;=5, $BL$28&lt;=8, $BL$28&gt;=5), VLOOKUP(AG254,$BK$29:$BN$39,3), AND(AH254&lt;=5,$BK$28&gt;=9), VLOOKUP(AG254,$BK$29:$BN$39,3), 1=1, "Normal"))</f>
        <v/>
      </c>
      <c r="H251" t="str">
        <f t="shared" ca="1" si="57"/>
        <v/>
      </c>
      <c r="I251" t="str">
        <f t="shared" ca="1" si="58"/>
        <v/>
      </c>
      <c r="K251" t="str" cm="1">
        <f t="array" aca="1" ref="K251" ca="1">IF(L251="","",(_xlfn.IFS(L251&gt;=15000,VLOOKUP(AW254,$BE$5:$BH$15,4),L251&gt;=4000,VLOOKUP(AW254,$BE$5:$BH$15,3),L251&gt;=100,VLOOKUP(AW254,$BE$5:$BH$15,2))))</f>
        <v/>
      </c>
      <c r="L251" t="str">
        <f t="shared" ca="1" si="59"/>
        <v/>
      </c>
      <c r="AF251" s="1">
        <f t="shared" ca="1" si="63"/>
        <v>10</v>
      </c>
      <c r="AG251" s="1">
        <f t="shared" ca="1" si="63"/>
        <v>2</v>
      </c>
      <c r="AH251" s="1"/>
      <c r="AI251" s="1">
        <f t="shared" ca="1" si="61"/>
        <v>8</v>
      </c>
      <c r="AJ251" s="1">
        <f t="shared" ca="1" si="62"/>
        <v>0.25</v>
      </c>
      <c r="AO251" s="1">
        <f t="shared" ca="1" si="64"/>
        <v>18</v>
      </c>
      <c r="AP251" s="1">
        <f t="shared" ca="1" si="65"/>
        <v>-175</v>
      </c>
      <c r="AS251" s="1">
        <f t="shared" ca="1" si="66"/>
        <v>90</v>
      </c>
      <c r="AV251" s="1">
        <f t="shared" ca="1" si="67"/>
        <v>-232</v>
      </c>
      <c r="AW251" s="1">
        <f t="shared" ca="1" si="68"/>
        <v>6</v>
      </c>
      <c r="AX251">
        <v>75</v>
      </c>
      <c r="AY251">
        <v>10000</v>
      </c>
    </row>
    <row r="252" spans="4:51" x14ac:dyDescent="0.3">
      <c r="D252" t="str">
        <f t="shared" ca="1" si="60"/>
        <v/>
      </c>
      <c r="E252" t="str" cm="1">
        <f t="array" aca="1" ref="E252" ca="1">_xlfn.IFS(D252="","",D252="Starstone", VLOOKUP($BK$4,$BK$6:$BM$11,3)*AI255*AJ255, D252 = "Tristal", VLOOKUP($BK$14,$BK$16:$BM$24,3)*AI255*AJ255, 1=1, VLOOKUP(AO255,$AX$75:$AZ$174,3)*AI255*AJ255)</f>
        <v/>
      </c>
      <c r="F252" t="str" cm="1">
        <f t="array" aca="1" ref="F252" ca="1">IF(D252="","",_xlfn.IFS(AH255&gt;5,"Normal",AND(AH255&lt;=5,$BK$28&lt;=4),VLOOKUP(AF255,$BK$29:$BN$39,2),AND(AH255&lt;=5,$BK$28&gt;=9),VLOOKUP(AF255,$BK$29:$BN$39,2), 1=1, "Normal"))</f>
        <v/>
      </c>
      <c r="G252" t="str" cm="1">
        <f t="array" aca="1" ref="G252" ca="1">IF(D252="","",_xlfn.IFS(AH255&gt;5, "Normal", AND(AH255&lt;=5, $BL$28&lt;=8, $BL$28&gt;=5), VLOOKUP(AG255,$BK$29:$BN$39,3), AND(AH255&lt;=5,$BK$28&gt;=9), VLOOKUP(AG255,$BK$29:$BN$39,3), 1=1, "Normal"))</f>
        <v/>
      </c>
      <c r="H252" t="str">
        <f t="shared" ca="1" si="57"/>
        <v/>
      </c>
      <c r="I252" t="str">
        <f t="shared" ca="1" si="58"/>
        <v/>
      </c>
      <c r="K252" t="str" cm="1">
        <f t="array" aca="1" ref="K252" ca="1">IF(L252="","",(_xlfn.IFS(L252&gt;=15000,VLOOKUP(AW255,$BE$5:$BH$15,4),L252&gt;=4000,VLOOKUP(AW255,$BE$5:$BH$15,3),L252&gt;=100,VLOOKUP(AW255,$BE$5:$BH$15,2))))</f>
        <v/>
      </c>
      <c r="L252" t="str">
        <f t="shared" ca="1" si="59"/>
        <v/>
      </c>
      <c r="AF252" s="1">
        <f t="shared" ca="1" si="63"/>
        <v>7</v>
      </c>
      <c r="AG252" s="1">
        <f t="shared" ca="1" si="63"/>
        <v>4</v>
      </c>
      <c r="AH252" s="1"/>
      <c r="AI252" s="1">
        <f t="shared" ca="1" si="61"/>
        <v>2</v>
      </c>
      <c r="AJ252" s="1">
        <f t="shared" ca="1" si="62"/>
        <v>0.5</v>
      </c>
      <c r="AO252" s="1">
        <f t="shared" ca="1" si="64"/>
        <v>34</v>
      </c>
      <c r="AP252" s="1">
        <f t="shared" ca="1" si="65"/>
        <v>-176</v>
      </c>
      <c r="AS252" s="1">
        <f t="shared" ca="1" si="66"/>
        <v>89</v>
      </c>
      <c r="AV252" s="1">
        <f t="shared" ca="1" si="67"/>
        <v>-233</v>
      </c>
      <c r="AW252" s="1">
        <f t="shared" ca="1" si="68"/>
        <v>5</v>
      </c>
      <c r="AX252">
        <v>76</v>
      </c>
      <c r="AY252">
        <v>10000</v>
      </c>
    </row>
    <row r="253" spans="4:51" x14ac:dyDescent="0.3">
      <c r="D253" t="str">
        <f t="shared" ca="1" si="60"/>
        <v/>
      </c>
      <c r="E253" t="str" cm="1">
        <f t="array" aca="1" ref="E253" ca="1">_xlfn.IFS(D253="","",D253="Starstone", VLOOKUP($BK$4,$BK$6:$BM$11,3)*AI256*AJ256, D253 = "Tristal", VLOOKUP($BK$14,$BK$16:$BM$24,3)*AI256*AJ256, 1=1, VLOOKUP(AO256,$AX$75:$AZ$174,3)*AI256*AJ256)</f>
        <v/>
      </c>
      <c r="F253" t="str" cm="1">
        <f t="array" aca="1" ref="F253" ca="1">IF(D253="","",_xlfn.IFS(AH256&gt;5,"Normal",AND(AH256&lt;=5,$BK$28&lt;=4),VLOOKUP(AF256,$BK$29:$BN$39,2),AND(AH256&lt;=5,$BK$28&gt;=9),VLOOKUP(AF256,$BK$29:$BN$39,2), 1=1, "Normal"))</f>
        <v/>
      </c>
      <c r="G253" t="str" cm="1">
        <f t="array" aca="1" ref="G253" ca="1">IF(D253="","",_xlfn.IFS(AH256&gt;5, "Normal", AND(AH256&lt;=5, $BL$28&lt;=8, $BL$28&gt;=5), VLOOKUP(AG256,$BK$29:$BN$39,3), AND(AH256&lt;=5,$BK$28&gt;=9), VLOOKUP(AG256,$BK$29:$BN$39,3), 1=1, "Normal"))</f>
        <v/>
      </c>
      <c r="H253" t="str">
        <f t="shared" ca="1" si="57"/>
        <v/>
      </c>
      <c r="I253" t="str">
        <f t="shared" ca="1" si="58"/>
        <v/>
      </c>
      <c r="K253" t="str" cm="1">
        <f t="array" aca="1" ref="K253" ca="1">IF(L253="","",(_xlfn.IFS(L253&gt;=15000,VLOOKUP(AW256,$BE$5:$BH$15,4),L253&gt;=4000,VLOOKUP(AW256,$BE$5:$BH$15,3),L253&gt;=100,VLOOKUP(AW256,$BE$5:$BH$15,2))))</f>
        <v/>
      </c>
      <c r="L253" t="str">
        <f t="shared" ca="1" si="59"/>
        <v/>
      </c>
      <c r="AF253" s="1">
        <f t="shared" ca="1" si="63"/>
        <v>4</v>
      </c>
      <c r="AG253" s="1">
        <f t="shared" ca="1" si="63"/>
        <v>4</v>
      </c>
      <c r="AH253" s="1"/>
      <c r="AI253" s="1">
        <f t="shared" ca="1" si="61"/>
        <v>0.5</v>
      </c>
      <c r="AJ253" s="1">
        <f t="shared" ca="1" si="62"/>
        <v>0.5</v>
      </c>
      <c r="AO253" s="1">
        <f t="shared" ca="1" si="64"/>
        <v>55</v>
      </c>
      <c r="AP253" s="1">
        <f t="shared" ca="1" si="65"/>
        <v>-177</v>
      </c>
      <c r="AS253" s="1">
        <f t="shared" ca="1" si="66"/>
        <v>13</v>
      </c>
      <c r="AV253" s="1">
        <f t="shared" ca="1" si="67"/>
        <v>-234</v>
      </c>
      <c r="AW253" s="1">
        <f t="shared" ca="1" si="68"/>
        <v>10</v>
      </c>
      <c r="AX253">
        <v>77</v>
      </c>
      <c r="AY253">
        <v>10000</v>
      </c>
    </row>
    <row r="254" spans="4:51" x14ac:dyDescent="0.3">
      <c r="D254" t="str">
        <f t="shared" ca="1" si="60"/>
        <v/>
      </c>
      <c r="E254" t="str" cm="1">
        <f t="array" aca="1" ref="E254" ca="1">_xlfn.IFS(D254="","",D254="Starstone", VLOOKUP($BK$4,$BK$6:$BM$11,3)*AI257*AJ257, D254 = "Tristal", VLOOKUP($BK$14,$BK$16:$BM$24,3)*AI257*AJ257, 1=1, VLOOKUP(AO257,$AX$75:$AZ$174,3)*AI257*AJ257)</f>
        <v/>
      </c>
      <c r="F254" t="str" cm="1">
        <f t="array" aca="1" ref="F254" ca="1">IF(D254="","",_xlfn.IFS(AH257&gt;5,"Normal",AND(AH257&lt;=5,$BK$28&lt;=4),VLOOKUP(AF257,$BK$29:$BN$39,2),AND(AH257&lt;=5,$BK$28&gt;=9),VLOOKUP(AF257,$BK$29:$BN$39,2), 1=1, "Normal"))</f>
        <v/>
      </c>
      <c r="G254" t="str" cm="1">
        <f t="array" aca="1" ref="G254" ca="1">IF(D254="","",_xlfn.IFS(AH257&gt;5, "Normal", AND(AH257&lt;=5, $BL$28&lt;=8, $BL$28&gt;=5), VLOOKUP(AG257,$BK$29:$BN$39,3), AND(AH257&lt;=5,$BK$28&gt;=9), VLOOKUP(AG257,$BK$29:$BN$39,3), 1=1, "Normal"))</f>
        <v/>
      </c>
      <c r="H254" t="str">
        <f t="shared" ca="1" si="57"/>
        <v/>
      </c>
      <c r="I254" t="str">
        <f t="shared" ca="1" si="58"/>
        <v/>
      </c>
      <c r="K254" t="str" cm="1">
        <f t="array" aca="1" ref="K254" ca="1">IF(L254="","",(_xlfn.IFS(L254&gt;=15000,VLOOKUP(AW257,$BE$5:$BH$15,4),L254&gt;=4000,VLOOKUP(AW257,$BE$5:$BH$15,3),L254&gt;=100,VLOOKUP(AW257,$BE$5:$BH$15,2))))</f>
        <v/>
      </c>
      <c r="L254" t="str">
        <f t="shared" ca="1" si="59"/>
        <v/>
      </c>
      <c r="AF254" s="1">
        <f t="shared" ca="1" si="63"/>
        <v>6</v>
      </c>
      <c r="AG254" s="1">
        <f t="shared" ca="1" si="63"/>
        <v>8</v>
      </c>
      <c r="AH254" s="1"/>
      <c r="AI254" s="1">
        <f t="shared" ca="1" si="61"/>
        <v>2</v>
      </c>
      <c r="AJ254" s="1">
        <f t="shared" ca="1" si="62"/>
        <v>4</v>
      </c>
      <c r="AO254" s="1">
        <f t="shared" ca="1" si="64"/>
        <v>18</v>
      </c>
      <c r="AP254" s="1">
        <f t="shared" ca="1" si="65"/>
        <v>-178</v>
      </c>
      <c r="AS254" s="1">
        <f t="shared" ca="1" si="66"/>
        <v>87</v>
      </c>
      <c r="AV254" s="1">
        <f t="shared" ca="1" si="67"/>
        <v>-235</v>
      </c>
      <c r="AW254" s="1">
        <f t="shared" ca="1" si="68"/>
        <v>4</v>
      </c>
      <c r="AX254">
        <v>78</v>
      </c>
      <c r="AY254">
        <v>10000</v>
      </c>
    </row>
    <row r="255" spans="4:51" x14ac:dyDescent="0.3">
      <c r="D255" t="str">
        <f t="shared" ca="1" si="60"/>
        <v/>
      </c>
      <c r="E255" t="str" cm="1">
        <f t="array" aca="1" ref="E255" ca="1">_xlfn.IFS(D255="","",D255="Starstone", VLOOKUP($BK$4,$BK$6:$BM$11,3)*AI258*AJ258, D255 = "Tristal", VLOOKUP($BK$14,$BK$16:$BM$24,3)*AI258*AJ258, 1=1, VLOOKUP(AO258,$AX$75:$AZ$174,3)*AI258*AJ258)</f>
        <v/>
      </c>
      <c r="F255" t="str" cm="1">
        <f t="array" aca="1" ref="F255" ca="1">IF(D255="","",_xlfn.IFS(AH258&gt;5,"Normal",AND(AH258&lt;=5,$BK$28&lt;=4),VLOOKUP(AF258,$BK$29:$BN$39,2),AND(AH258&lt;=5,$BK$28&gt;=9),VLOOKUP(AF258,$BK$29:$BN$39,2), 1=1, "Normal"))</f>
        <v/>
      </c>
      <c r="G255" t="str" cm="1">
        <f t="array" aca="1" ref="G255" ca="1">IF(D255="","",_xlfn.IFS(AH258&gt;5, "Normal", AND(AH258&lt;=5, $BL$28&lt;=8, $BL$28&gt;=5), VLOOKUP(AG258,$BK$29:$BN$39,3), AND(AH258&lt;=5,$BK$28&gt;=9), VLOOKUP(AG258,$BK$29:$BN$39,3), 1=1, "Normal"))</f>
        <v/>
      </c>
      <c r="H255" t="str">
        <f t="shared" ca="1" si="57"/>
        <v/>
      </c>
      <c r="I255" t="str">
        <f t="shared" ca="1" si="58"/>
        <v/>
      </c>
      <c r="K255" t="str" cm="1">
        <f t="array" aca="1" ref="K255" ca="1">IF(L255="","",(_xlfn.IFS(L255&gt;=15000,VLOOKUP(AW258,$BE$5:$BH$15,4),L255&gt;=4000,VLOOKUP(AW258,$BE$5:$BH$15,3),L255&gt;=100,VLOOKUP(AW258,$BE$5:$BH$15,2))))</f>
        <v/>
      </c>
      <c r="L255" t="str">
        <f t="shared" ca="1" si="59"/>
        <v/>
      </c>
      <c r="AF255" s="1">
        <f t="shared" ca="1" si="63"/>
        <v>1</v>
      </c>
      <c r="AG255" s="1">
        <f t="shared" ca="1" si="63"/>
        <v>9</v>
      </c>
      <c r="AH255" s="1"/>
      <c r="AI255" s="1">
        <f t="shared" ca="1" si="61"/>
        <v>0.125</v>
      </c>
      <c r="AJ255" s="1">
        <f t="shared" ca="1" si="62"/>
        <v>4</v>
      </c>
      <c r="AO255" s="1">
        <f t="shared" ca="1" si="64"/>
        <v>58</v>
      </c>
      <c r="AP255" s="1">
        <f t="shared" ca="1" si="65"/>
        <v>-179</v>
      </c>
      <c r="AS255" s="1">
        <f t="shared" ca="1" si="66"/>
        <v>14</v>
      </c>
      <c r="AV255" s="1">
        <f t="shared" ca="1" si="67"/>
        <v>-236</v>
      </c>
      <c r="AW255" s="1">
        <f t="shared" ca="1" si="68"/>
        <v>3</v>
      </c>
      <c r="AX255">
        <v>79</v>
      </c>
      <c r="AY255">
        <v>15000</v>
      </c>
    </row>
    <row r="256" spans="4:51" x14ac:dyDescent="0.3">
      <c r="D256" t="str">
        <f t="shared" ca="1" si="60"/>
        <v/>
      </c>
      <c r="E256" t="str" cm="1">
        <f t="array" aca="1" ref="E256" ca="1">_xlfn.IFS(D256="","",D256="Starstone", VLOOKUP($BK$4,$BK$6:$BM$11,3)*AI259*AJ259, D256 = "Tristal", VLOOKUP($BK$14,$BK$16:$BM$24,3)*AI259*AJ259, 1=1, VLOOKUP(AO259,$AX$75:$AZ$174,3)*AI259*AJ259)</f>
        <v/>
      </c>
      <c r="F256" t="str" cm="1">
        <f t="array" aca="1" ref="F256" ca="1">IF(D256="","",_xlfn.IFS(AH259&gt;5,"Normal",AND(AH259&lt;=5,$BK$28&lt;=4),VLOOKUP(AF259,$BK$29:$BN$39,2),AND(AH259&lt;=5,$BK$28&gt;=9),VLOOKUP(AF259,$BK$29:$BN$39,2), 1=1, "Normal"))</f>
        <v/>
      </c>
      <c r="G256" t="str" cm="1">
        <f t="array" aca="1" ref="G256" ca="1">IF(D256="","",_xlfn.IFS(AH259&gt;5, "Normal", AND(AH259&lt;=5, $BL$28&lt;=8, $BL$28&gt;=5), VLOOKUP(AG259,$BK$29:$BN$39,3), AND(AH259&lt;=5,$BK$28&gt;=9), VLOOKUP(AG259,$BK$29:$BN$39,3), 1=1, "Normal"))</f>
        <v/>
      </c>
      <c r="H256" t="str">
        <f t="shared" ca="1" si="57"/>
        <v/>
      </c>
      <c r="I256" t="str">
        <f t="shared" ca="1" si="58"/>
        <v/>
      </c>
      <c r="K256" t="str" cm="1">
        <f t="array" aca="1" ref="K256" ca="1">IF(L256="","",(_xlfn.IFS(L256&gt;=15000,VLOOKUP(AW259,$BE$5:$BH$15,4),L256&gt;=4000,VLOOKUP(AW259,$BE$5:$BH$15,3),L256&gt;=100,VLOOKUP(AW259,$BE$5:$BH$15,2))))</f>
        <v/>
      </c>
      <c r="L256" t="str">
        <f t="shared" ca="1" si="59"/>
        <v/>
      </c>
      <c r="AF256" s="1">
        <f t="shared" ca="1" si="63"/>
        <v>7</v>
      </c>
      <c r="AG256" s="1">
        <f t="shared" ca="1" si="63"/>
        <v>4</v>
      </c>
      <c r="AH256" s="1"/>
      <c r="AI256" s="1">
        <f t="shared" ca="1" si="61"/>
        <v>2</v>
      </c>
      <c r="AJ256" s="1">
        <f t="shared" ca="1" si="62"/>
        <v>0.5</v>
      </c>
      <c r="AO256" s="1">
        <f t="shared" ca="1" si="64"/>
        <v>44</v>
      </c>
      <c r="AP256" s="1">
        <f t="shared" ca="1" si="65"/>
        <v>-180</v>
      </c>
      <c r="AS256" s="1">
        <f t="shared" ca="1" si="66"/>
        <v>45</v>
      </c>
      <c r="AV256" s="1">
        <f t="shared" ca="1" si="67"/>
        <v>-237</v>
      </c>
      <c r="AW256" s="1">
        <f t="shared" ca="1" si="68"/>
        <v>9</v>
      </c>
      <c r="AX256">
        <v>80</v>
      </c>
      <c r="AY256">
        <v>15000</v>
      </c>
    </row>
    <row r="257" spans="4:51" x14ac:dyDescent="0.3">
      <c r="D257" t="str">
        <f t="shared" ca="1" si="60"/>
        <v/>
      </c>
      <c r="E257" t="str" cm="1">
        <f t="array" aca="1" ref="E257" ca="1">_xlfn.IFS(D257="","",D257="Starstone", VLOOKUP($BK$4,$BK$6:$BM$11,3)*AI260*AJ260, D257 = "Tristal", VLOOKUP($BK$14,$BK$16:$BM$24,3)*AI260*AJ260, 1=1, VLOOKUP(AO260,$AX$75:$AZ$174,3)*AI260*AJ260)</f>
        <v/>
      </c>
      <c r="F257" t="str" cm="1">
        <f t="array" aca="1" ref="F257" ca="1">IF(D257="","",_xlfn.IFS(AH260&gt;5,"Normal",AND(AH260&lt;=5,$BK$28&lt;=4),VLOOKUP(AF260,$BK$29:$BN$39,2),AND(AH260&lt;=5,$BK$28&gt;=9),VLOOKUP(AF260,$BK$29:$BN$39,2), 1=1, "Normal"))</f>
        <v/>
      </c>
      <c r="G257" t="str" cm="1">
        <f t="array" aca="1" ref="G257" ca="1">IF(D257="","",_xlfn.IFS(AH260&gt;5, "Normal", AND(AH260&lt;=5, $BL$28&lt;=8, $BL$28&gt;=5), VLOOKUP(AG260,$BK$29:$BN$39,3), AND(AH260&lt;=5,$BK$28&gt;=9), VLOOKUP(AG260,$BK$29:$BN$39,3), 1=1, "Normal"))</f>
        <v/>
      </c>
      <c r="H257" t="str">
        <f t="shared" ca="1" si="57"/>
        <v/>
      </c>
      <c r="I257" t="str">
        <f t="shared" ca="1" si="58"/>
        <v/>
      </c>
      <c r="K257" t="str" cm="1">
        <f t="array" aca="1" ref="K257" ca="1">IF(L257="","",(_xlfn.IFS(L257&gt;=15000,VLOOKUP(AW260,$BE$5:$BH$15,4),L257&gt;=4000,VLOOKUP(AW260,$BE$5:$BH$15,3),L257&gt;=100,VLOOKUP(AW260,$BE$5:$BH$15,2))))</f>
        <v/>
      </c>
      <c r="L257" t="str">
        <f t="shared" ca="1" si="59"/>
        <v/>
      </c>
      <c r="AF257" s="1">
        <f t="shared" ca="1" si="63"/>
        <v>2</v>
      </c>
      <c r="AG257" s="1">
        <f t="shared" ca="1" si="63"/>
        <v>4</v>
      </c>
      <c r="AH257" s="1"/>
      <c r="AI257" s="1">
        <f t="shared" ca="1" si="61"/>
        <v>0.25</v>
      </c>
      <c r="AJ257" s="1">
        <f t="shared" ca="1" si="62"/>
        <v>0.5</v>
      </c>
      <c r="AO257" s="1">
        <f t="shared" ca="1" si="64"/>
        <v>14</v>
      </c>
      <c r="AP257" s="1">
        <f t="shared" ca="1" si="65"/>
        <v>-181</v>
      </c>
      <c r="AS257" s="1">
        <f t="shared" ca="1" si="66"/>
        <v>39</v>
      </c>
      <c r="AV257" s="1">
        <f t="shared" ca="1" si="67"/>
        <v>-238</v>
      </c>
      <c r="AW257" s="1">
        <f t="shared" ca="1" si="68"/>
        <v>9</v>
      </c>
      <c r="AX257">
        <v>81</v>
      </c>
      <c r="AY257">
        <v>15000</v>
      </c>
    </row>
    <row r="258" spans="4:51" x14ac:dyDescent="0.3">
      <c r="D258" t="str">
        <f t="shared" ca="1" si="60"/>
        <v/>
      </c>
      <c r="E258" t="str" cm="1">
        <f t="array" aca="1" ref="E258" ca="1">_xlfn.IFS(D258="","",D258="Starstone", VLOOKUP($BK$4,$BK$6:$BM$11,3)*AI261*AJ261, D258 = "Tristal", VLOOKUP($BK$14,$BK$16:$BM$24,3)*AI261*AJ261, 1=1, VLOOKUP(AO261,$AX$75:$AZ$174,3)*AI261*AJ261)</f>
        <v/>
      </c>
      <c r="F258" t="str" cm="1">
        <f t="array" aca="1" ref="F258" ca="1">IF(D258="","",_xlfn.IFS(AH261&gt;5,"Normal",AND(AH261&lt;=5,$BK$28&lt;=4),VLOOKUP(AF261,$BK$29:$BN$39,2),AND(AH261&lt;=5,$BK$28&gt;=9),VLOOKUP(AF261,$BK$29:$BN$39,2), 1=1, "Normal"))</f>
        <v/>
      </c>
      <c r="G258" t="str" cm="1">
        <f t="array" aca="1" ref="G258" ca="1">IF(D258="","",_xlfn.IFS(AH261&gt;5, "Normal", AND(AH261&lt;=5, $BL$28&lt;=8, $BL$28&gt;=5), VLOOKUP(AG261,$BK$29:$BN$39,3), AND(AH261&lt;=5,$BK$28&gt;=9), VLOOKUP(AG261,$BK$29:$BN$39,3), 1=1, "Normal"))</f>
        <v/>
      </c>
      <c r="H258" t="str">
        <f t="shared" ca="1" si="57"/>
        <v/>
      </c>
      <c r="I258" t="str">
        <f t="shared" ca="1" si="58"/>
        <v/>
      </c>
      <c r="K258" t="str" cm="1">
        <f t="array" aca="1" ref="K258" ca="1">IF(L258="","",(_xlfn.IFS(L258&gt;=15000,VLOOKUP(AW261,$BE$5:$BH$15,4),L258&gt;=4000,VLOOKUP(AW261,$BE$5:$BH$15,3),L258&gt;=100,VLOOKUP(AW261,$BE$5:$BH$15,2))))</f>
        <v/>
      </c>
      <c r="L258" t="str">
        <f t="shared" ca="1" si="59"/>
        <v/>
      </c>
      <c r="AF258" s="1">
        <f t="shared" ca="1" si="63"/>
        <v>8</v>
      </c>
      <c r="AG258" s="1">
        <f t="shared" ca="1" si="63"/>
        <v>10</v>
      </c>
      <c r="AH258" s="1"/>
      <c r="AI258" s="1">
        <f t="shared" ca="1" si="61"/>
        <v>4</v>
      </c>
      <c r="AJ258" s="1">
        <f t="shared" ca="1" si="62"/>
        <v>8</v>
      </c>
      <c r="AO258" s="1">
        <f t="shared" ca="1" si="64"/>
        <v>27</v>
      </c>
      <c r="AP258" s="1">
        <f t="shared" ca="1" si="65"/>
        <v>-182</v>
      </c>
      <c r="AS258" s="1">
        <f t="shared" ca="1" si="66"/>
        <v>47</v>
      </c>
      <c r="AV258" s="1">
        <f t="shared" ca="1" si="67"/>
        <v>-239</v>
      </c>
      <c r="AW258" s="1">
        <f t="shared" ca="1" si="68"/>
        <v>2</v>
      </c>
      <c r="AX258">
        <v>82</v>
      </c>
      <c r="AY258">
        <v>15000</v>
      </c>
    </row>
    <row r="259" spans="4:51" x14ac:dyDescent="0.3">
      <c r="D259" t="str">
        <f t="shared" ca="1" si="60"/>
        <v/>
      </c>
      <c r="E259" t="str" cm="1">
        <f t="array" aca="1" ref="E259" ca="1">_xlfn.IFS(D259="","",D259="Starstone", VLOOKUP($BK$4,$BK$6:$BM$11,3)*AI262*AJ262, D259 = "Tristal", VLOOKUP($BK$14,$BK$16:$BM$24,3)*AI262*AJ262, 1=1, VLOOKUP(AO262,$AX$75:$AZ$174,3)*AI262*AJ262)</f>
        <v/>
      </c>
      <c r="F259" t="str" cm="1">
        <f t="array" aca="1" ref="F259" ca="1">IF(D259="","",_xlfn.IFS(AH262&gt;5,"Normal",AND(AH262&lt;=5,$BK$28&lt;=4),VLOOKUP(AF262,$BK$29:$BN$39,2),AND(AH262&lt;=5,$BK$28&gt;=9),VLOOKUP(AF262,$BK$29:$BN$39,2), 1=1, "Normal"))</f>
        <v/>
      </c>
      <c r="G259" t="str" cm="1">
        <f t="array" aca="1" ref="G259" ca="1">IF(D259="","",_xlfn.IFS(AH262&gt;5, "Normal", AND(AH262&lt;=5, $BL$28&lt;=8, $BL$28&gt;=5), VLOOKUP(AG262,$BK$29:$BN$39,3), AND(AH262&lt;=5,$BK$28&gt;=9), VLOOKUP(AG262,$BK$29:$BN$39,3), 1=1, "Normal"))</f>
        <v/>
      </c>
      <c r="H259" t="str">
        <f t="shared" ca="1" si="57"/>
        <v/>
      </c>
      <c r="I259" t="str">
        <f t="shared" ca="1" si="58"/>
        <v/>
      </c>
      <c r="K259" t="str" cm="1">
        <f t="array" aca="1" ref="K259" ca="1">IF(L259="","",(_xlfn.IFS(L259&gt;=15000,VLOOKUP(AW262,$BE$5:$BH$15,4),L259&gt;=4000,VLOOKUP(AW262,$BE$5:$BH$15,3),L259&gt;=100,VLOOKUP(AW262,$BE$5:$BH$15,2))))</f>
        <v/>
      </c>
      <c r="L259" t="str">
        <f t="shared" ca="1" si="59"/>
        <v/>
      </c>
      <c r="AF259" s="1">
        <f t="shared" ca="1" si="63"/>
        <v>5</v>
      </c>
      <c r="AG259" s="1">
        <f t="shared" ca="1" si="63"/>
        <v>10</v>
      </c>
      <c r="AH259" s="1"/>
      <c r="AI259" s="1">
        <f t="shared" ca="1" si="61"/>
        <v>0.5</v>
      </c>
      <c r="AJ259" s="1">
        <f t="shared" ca="1" si="62"/>
        <v>8</v>
      </c>
      <c r="AO259" s="1">
        <f t="shared" ca="1" si="64"/>
        <v>19</v>
      </c>
      <c r="AP259" s="1">
        <f t="shared" ca="1" si="65"/>
        <v>-183</v>
      </c>
      <c r="AS259" s="1">
        <f t="shared" ca="1" si="66"/>
        <v>85</v>
      </c>
      <c r="AV259" s="1">
        <f t="shared" ca="1" si="67"/>
        <v>-240</v>
      </c>
      <c r="AW259" s="1">
        <f t="shared" ca="1" si="68"/>
        <v>6</v>
      </c>
      <c r="AX259">
        <v>83</v>
      </c>
      <c r="AY259">
        <v>15000</v>
      </c>
    </row>
    <row r="260" spans="4:51" x14ac:dyDescent="0.3">
      <c r="D260" t="str">
        <f t="shared" ca="1" si="60"/>
        <v/>
      </c>
      <c r="E260" t="str" cm="1">
        <f t="array" aca="1" ref="E260" ca="1">_xlfn.IFS(D260="","",D260="Starstone", VLOOKUP($BK$4,$BK$6:$BM$11,3)*AI263*AJ263, D260 = "Tristal", VLOOKUP($BK$14,$BK$16:$BM$24,3)*AI263*AJ263, 1=1, VLOOKUP(AO263,$AX$75:$AZ$174,3)*AI263*AJ263)</f>
        <v/>
      </c>
      <c r="F260" t="str" cm="1">
        <f t="array" aca="1" ref="F260" ca="1">IF(D260="","",_xlfn.IFS(AH263&gt;5,"Normal",AND(AH263&lt;=5,$BK$28&lt;=4),VLOOKUP(AF263,$BK$29:$BN$39,2),AND(AH263&lt;=5,$BK$28&gt;=9),VLOOKUP(AF263,$BK$29:$BN$39,2), 1=1, "Normal"))</f>
        <v/>
      </c>
      <c r="G260" t="str" cm="1">
        <f t="array" aca="1" ref="G260" ca="1">IF(D260="","",_xlfn.IFS(AH263&gt;5, "Normal", AND(AH263&lt;=5, $BL$28&lt;=8, $BL$28&gt;=5), VLOOKUP(AG263,$BK$29:$BN$39,3), AND(AH263&lt;=5,$BK$28&gt;=9), VLOOKUP(AG263,$BK$29:$BN$39,3), 1=1, "Normal"))</f>
        <v/>
      </c>
      <c r="H260" t="str">
        <f t="shared" ca="1" si="57"/>
        <v/>
      </c>
      <c r="I260" t="str">
        <f t="shared" ca="1" si="58"/>
        <v/>
      </c>
      <c r="K260" t="str" cm="1">
        <f t="array" aca="1" ref="K260" ca="1">IF(L260="","",(_xlfn.IFS(L260&gt;=15000,VLOOKUP(AW263,$BE$5:$BH$15,4),L260&gt;=4000,VLOOKUP(AW263,$BE$5:$BH$15,3),L260&gt;=100,VLOOKUP(AW263,$BE$5:$BH$15,2))))</f>
        <v/>
      </c>
      <c r="L260" t="str">
        <f t="shared" ca="1" si="59"/>
        <v/>
      </c>
      <c r="AF260" s="1">
        <f t="shared" ca="1" si="63"/>
        <v>6</v>
      </c>
      <c r="AG260" s="1">
        <f t="shared" ca="1" si="63"/>
        <v>4</v>
      </c>
      <c r="AH260" s="1"/>
      <c r="AI260" s="1">
        <f t="shared" ca="1" si="61"/>
        <v>2</v>
      </c>
      <c r="AJ260" s="1">
        <f t="shared" ca="1" si="62"/>
        <v>0.5</v>
      </c>
      <c r="AO260" s="1">
        <f t="shared" ca="1" si="64"/>
        <v>9</v>
      </c>
      <c r="AP260" s="1">
        <f t="shared" ca="1" si="65"/>
        <v>-184</v>
      </c>
      <c r="AS260" s="1">
        <f t="shared" ca="1" si="66"/>
        <v>11</v>
      </c>
      <c r="AV260" s="1">
        <f t="shared" ca="1" si="67"/>
        <v>-241</v>
      </c>
      <c r="AW260" s="1">
        <f t="shared" ca="1" si="68"/>
        <v>2</v>
      </c>
      <c r="AX260">
        <v>84</v>
      </c>
      <c r="AY260">
        <v>15000</v>
      </c>
    </row>
    <row r="261" spans="4:51" x14ac:dyDescent="0.3">
      <c r="D261" t="str">
        <f t="shared" ca="1" si="60"/>
        <v/>
      </c>
      <c r="E261" t="str" cm="1">
        <f t="array" aca="1" ref="E261" ca="1">_xlfn.IFS(D261="","",D261="Starstone", VLOOKUP($BK$4,$BK$6:$BM$11,3)*AI264*AJ264, D261 = "Tristal", VLOOKUP($BK$14,$BK$16:$BM$24,3)*AI264*AJ264, 1=1, VLOOKUP(AO264,$AX$75:$AZ$174,3)*AI264*AJ264)</f>
        <v/>
      </c>
      <c r="F261" t="str" cm="1">
        <f t="array" aca="1" ref="F261" ca="1">IF(D261="","",_xlfn.IFS(AH264&gt;5,"Normal",AND(AH264&lt;=5,$BK$28&lt;=4),VLOOKUP(AF264,$BK$29:$BN$39,2),AND(AH264&lt;=5,$BK$28&gt;=9),VLOOKUP(AF264,$BK$29:$BN$39,2), 1=1, "Normal"))</f>
        <v/>
      </c>
      <c r="G261" t="str" cm="1">
        <f t="array" aca="1" ref="G261" ca="1">IF(D261="","",_xlfn.IFS(AH264&gt;5, "Normal", AND(AH264&lt;=5, $BL$28&lt;=8, $BL$28&gt;=5), VLOOKUP(AG264,$BK$29:$BN$39,3), AND(AH264&lt;=5,$BK$28&gt;=9), VLOOKUP(AG264,$BK$29:$BN$39,3), 1=1, "Normal"))</f>
        <v/>
      </c>
      <c r="H261" t="str">
        <f t="shared" ca="1" si="57"/>
        <v/>
      </c>
      <c r="I261" t="str">
        <f t="shared" ca="1" si="58"/>
        <v/>
      </c>
      <c r="K261" t="str" cm="1">
        <f t="array" aca="1" ref="K261" ca="1">IF(L261="","",(_xlfn.IFS(L261&gt;=15000,VLOOKUP(AW264,$BE$5:$BH$15,4),L261&gt;=4000,VLOOKUP(AW264,$BE$5:$BH$15,3),L261&gt;=100,VLOOKUP(AW264,$BE$5:$BH$15,2))))</f>
        <v/>
      </c>
      <c r="L261" t="str">
        <f t="shared" ca="1" si="59"/>
        <v/>
      </c>
      <c r="AF261" s="1">
        <f t="shared" ca="1" si="63"/>
        <v>6</v>
      </c>
      <c r="AG261" s="1">
        <f t="shared" ca="1" si="63"/>
        <v>8</v>
      </c>
      <c r="AH261" s="1"/>
      <c r="AI261" s="1">
        <f t="shared" ca="1" si="61"/>
        <v>2</v>
      </c>
      <c r="AJ261" s="1">
        <f t="shared" ca="1" si="62"/>
        <v>4</v>
      </c>
      <c r="AO261" s="1">
        <f t="shared" ca="1" si="64"/>
        <v>62</v>
      </c>
      <c r="AP261" s="1">
        <f t="shared" ca="1" si="65"/>
        <v>-185</v>
      </c>
      <c r="AS261" s="1">
        <f t="shared" ca="1" si="66"/>
        <v>15</v>
      </c>
      <c r="AV261" s="1">
        <f t="shared" ca="1" si="67"/>
        <v>-242</v>
      </c>
      <c r="AW261" s="1">
        <f t="shared" ca="1" si="68"/>
        <v>7</v>
      </c>
      <c r="AX261">
        <v>85</v>
      </c>
      <c r="AY261">
        <v>15000</v>
      </c>
    </row>
    <row r="262" spans="4:51" x14ac:dyDescent="0.3">
      <c r="D262" t="str">
        <f t="shared" ca="1" si="60"/>
        <v/>
      </c>
      <c r="E262" t="str" cm="1">
        <f t="array" aca="1" ref="E262" ca="1">_xlfn.IFS(D262="","",D262="Starstone", VLOOKUP($BK$4,$BK$6:$BM$11,3)*AI265*AJ265, D262 = "Tristal", VLOOKUP($BK$14,$BK$16:$BM$24,3)*AI265*AJ265, 1=1, VLOOKUP(AO265,$AX$75:$AZ$174,3)*AI265*AJ265)</f>
        <v/>
      </c>
      <c r="F262" t="str" cm="1">
        <f t="array" aca="1" ref="F262" ca="1">IF(D262="","",_xlfn.IFS(AH265&gt;5,"Normal",AND(AH265&lt;=5,$BK$28&lt;=4),VLOOKUP(AF265,$BK$29:$BN$39,2),AND(AH265&lt;=5,$BK$28&gt;=9),VLOOKUP(AF265,$BK$29:$BN$39,2), 1=1, "Normal"))</f>
        <v/>
      </c>
      <c r="G262" t="str" cm="1">
        <f t="array" aca="1" ref="G262" ca="1">IF(D262="","",_xlfn.IFS(AH265&gt;5, "Normal", AND(AH265&lt;=5, $BL$28&lt;=8, $BL$28&gt;=5), VLOOKUP(AG265,$BK$29:$BN$39,3), AND(AH265&lt;=5,$BK$28&gt;=9), VLOOKUP(AG265,$BK$29:$BN$39,3), 1=1, "Normal"))</f>
        <v/>
      </c>
      <c r="H262" t="str">
        <f t="shared" ca="1" si="57"/>
        <v/>
      </c>
      <c r="I262" t="str">
        <f t="shared" ca="1" si="58"/>
        <v/>
      </c>
      <c r="K262" t="str" cm="1">
        <f t="array" aca="1" ref="K262" ca="1">IF(L262="","",(_xlfn.IFS(L262&gt;=15000,VLOOKUP(AW265,$BE$5:$BH$15,4),L262&gt;=4000,VLOOKUP(AW265,$BE$5:$BH$15,3),L262&gt;=100,VLOOKUP(AW265,$BE$5:$BH$15,2))))</f>
        <v/>
      </c>
      <c r="L262" t="str">
        <f t="shared" ca="1" si="59"/>
        <v/>
      </c>
      <c r="AF262" s="1">
        <f t="shared" ca="1" si="63"/>
        <v>8</v>
      </c>
      <c r="AG262" s="1">
        <f t="shared" ca="1" si="63"/>
        <v>2</v>
      </c>
      <c r="AH262" s="1"/>
      <c r="AI262" s="1">
        <f t="shared" ca="1" si="61"/>
        <v>4</v>
      </c>
      <c r="AJ262" s="1">
        <f t="shared" ca="1" si="62"/>
        <v>0.25</v>
      </c>
      <c r="AO262" s="1">
        <f t="shared" ca="1" si="64"/>
        <v>52</v>
      </c>
      <c r="AP262" s="1">
        <f t="shared" ca="1" si="65"/>
        <v>-186</v>
      </c>
      <c r="AS262" s="1">
        <f t="shared" ca="1" si="66"/>
        <v>90</v>
      </c>
      <c r="AV262" s="1">
        <f t="shared" ca="1" si="67"/>
        <v>-243</v>
      </c>
      <c r="AW262" s="1">
        <f t="shared" ca="1" si="68"/>
        <v>1</v>
      </c>
      <c r="AX262">
        <v>86</v>
      </c>
      <c r="AY262">
        <v>20000</v>
      </c>
    </row>
    <row r="263" spans="4:51" x14ac:dyDescent="0.3">
      <c r="D263" t="str">
        <f t="shared" ca="1" si="60"/>
        <v/>
      </c>
      <c r="E263" t="str" cm="1">
        <f t="array" aca="1" ref="E263" ca="1">_xlfn.IFS(D263="","",D263="Starstone", VLOOKUP($BK$4,$BK$6:$BM$11,3)*AI266*AJ266, D263 = "Tristal", VLOOKUP($BK$14,$BK$16:$BM$24,3)*AI266*AJ266, 1=1, VLOOKUP(AO266,$AX$75:$AZ$174,3)*AI266*AJ266)</f>
        <v/>
      </c>
      <c r="F263" t="str" cm="1">
        <f t="array" aca="1" ref="F263" ca="1">IF(D263="","",_xlfn.IFS(AH266&gt;5,"Normal",AND(AH266&lt;=5,$BK$28&lt;=4),VLOOKUP(AF266,$BK$29:$BN$39,2),AND(AH266&lt;=5,$BK$28&gt;=9),VLOOKUP(AF266,$BK$29:$BN$39,2), 1=1, "Normal"))</f>
        <v/>
      </c>
      <c r="G263" t="str" cm="1">
        <f t="array" aca="1" ref="G263" ca="1">IF(D263="","",_xlfn.IFS(AH266&gt;5, "Normal", AND(AH266&lt;=5, $BL$28&lt;=8, $BL$28&gt;=5), VLOOKUP(AG266,$BK$29:$BN$39,3), AND(AH266&lt;=5,$BK$28&gt;=9), VLOOKUP(AG266,$BK$29:$BN$39,3), 1=1, "Normal"))</f>
        <v/>
      </c>
      <c r="H263" t="str">
        <f t="shared" ref="H263:H326" ca="1" si="69">IF(D263 = "Tristal", VLOOKUP($BK$14,$BK$16:$BM$24,2), "")</f>
        <v/>
      </c>
      <c r="I263" t="str">
        <f t="shared" ref="I263:I326" ca="1" si="70">IF(D263="Starstone", VLOOKUP($BK$4,$BK$6:$BM$11,2), "")</f>
        <v/>
      </c>
      <c r="K263" t="str" cm="1">
        <f t="array" aca="1" ref="K263" ca="1">IF(L263="","",(_xlfn.IFS(L263&gt;=15000,VLOOKUP(AW266,$BE$5:$BH$15,4),L263&gt;=4000,VLOOKUP(AW266,$BE$5:$BH$15,3),L263&gt;=100,VLOOKUP(AW266,$BE$5:$BH$15,2))))</f>
        <v/>
      </c>
      <c r="L263" t="str">
        <f t="shared" ref="L263:L326" ca="1" si="71">IF(AV265&gt;0,VLOOKUP(AS266,$AX$177:$AY$276,2),"")</f>
        <v/>
      </c>
      <c r="AF263" s="1">
        <f t="shared" ca="1" si="63"/>
        <v>7</v>
      </c>
      <c r="AG263" s="1">
        <f t="shared" ca="1" si="63"/>
        <v>1</v>
      </c>
      <c r="AH263" s="1"/>
      <c r="AI263" s="1">
        <f t="shared" ca="1" si="61"/>
        <v>2</v>
      </c>
      <c r="AJ263" s="1">
        <f t="shared" ca="1" si="62"/>
        <v>0.125</v>
      </c>
      <c r="AO263" s="1">
        <f t="shared" ca="1" si="64"/>
        <v>99</v>
      </c>
      <c r="AP263" s="1">
        <f t="shared" ca="1" si="65"/>
        <v>-187</v>
      </c>
      <c r="AS263" s="1">
        <f t="shared" ca="1" si="66"/>
        <v>84</v>
      </c>
      <c r="AV263" s="1">
        <f t="shared" ca="1" si="67"/>
        <v>-244</v>
      </c>
      <c r="AW263" s="1">
        <f t="shared" ca="1" si="68"/>
        <v>3</v>
      </c>
      <c r="AX263">
        <v>87</v>
      </c>
      <c r="AY263">
        <v>20000</v>
      </c>
    </row>
    <row r="264" spans="4:51" x14ac:dyDescent="0.3">
      <c r="D264" t="str">
        <f t="shared" ref="D264:D327" ca="1" si="72">IF(AP267&gt;-1,VLOOKUP(AO267,$AX$75:$AZ$174,2),"")</f>
        <v/>
      </c>
      <c r="E264" t="str" cm="1">
        <f t="array" aca="1" ref="E264" ca="1">_xlfn.IFS(D264="","",D264="Starstone", VLOOKUP($BK$4,$BK$6:$BM$11,3)*AI267*AJ267, D264 = "Tristal", VLOOKUP($BK$14,$BK$16:$BM$24,3)*AI267*AJ267, 1=1, VLOOKUP(AO267,$AX$75:$AZ$174,3)*AI267*AJ267)</f>
        <v/>
      </c>
      <c r="F264" t="str" cm="1">
        <f t="array" aca="1" ref="F264" ca="1">IF(D264="","",_xlfn.IFS(AH267&gt;5,"Normal",AND(AH267&lt;=5,$BK$28&lt;=4),VLOOKUP(AF267,$BK$29:$BN$39,2),AND(AH267&lt;=5,$BK$28&gt;=9),VLOOKUP(AF267,$BK$29:$BN$39,2), 1=1, "Normal"))</f>
        <v/>
      </c>
      <c r="G264" t="str" cm="1">
        <f t="array" aca="1" ref="G264" ca="1">IF(D264="","",_xlfn.IFS(AH267&gt;5, "Normal", AND(AH267&lt;=5, $BL$28&lt;=8, $BL$28&gt;=5), VLOOKUP(AG267,$BK$29:$BN$39,3), AND(AH267&lt;=5,$BK$28&gt;=9), VLOOKUP(AG267,$BK$29:$BN$39,3), 1=1, "Normal"))</f>
        <v/>
      </c>
      <c r="H264" t="str">
        <f t="shared" ca="1" si="69"/>
        <v/>
      </c>
      <c r="I264" t="str">
        <f t="shared" ca="1" si="70"/>
        <v/>
      </c>
      <c r="K264" t="str" cm="1">
        <f t="array" aca="1" ref="K264" ca="1">IF(L264="","",(_xlfn.IFS(L264&gt;=15000,VLOOKUP(AW267,$BE$5:$BH$15,4),L264&gt;=4000,VLOOKUP(AW267,$BE$5:$BH$15,3),L264&gt;=100,VLOOKUP(AW267,$BE$5:$BH$15,2))))</f>
        <v/>
      </c>
      <c r="L264" t="str">
        <f t="shared" ca="1" si="71"/>
        <v/>
      </c>
      <c r="AF264" s="1">
        <f t="shared" ca="1" si="63"/>
        <v>7</v>
      </c>
      <c r="AG264" s="1">
        <f t="shared" ca="1" si="63"/>
        <v>3</v>
      </c>
      <c r="AH264" s="1"/>
      <c r="AI264" s="1">
        <f t="shared" ca="1" si="61"/>
        <v>2</v>
      </c>
      <c r="AJ264" s="1">
        <f t="shared" ca="1" si="62"/>
        <v>0.25</v>
      </c>
      <c r="AO264" s="1">
        <f t="shared" ca="1" si="64"/>
        <v>13</v>
      </c>
      <c r="AP264" s="1">
        <f t="shared" ca="1" si="65"/>
        <v>-188</v>
      </c>
      <c r="AS264" s="1">
        <f t="shared" ca="1" si="66"/>
        <v>7</v>
      </c>
      <c r="AV264" s="1">
        <f t="shared" ca="1" si="67"/>
        <v>-245</v>
      </c>
      <c r="AW264" s="1">
        <f t="shared" ca="1" si="68"/>
        <v>9</v>
      </c>
      <c r="AX264">
        <v>88</v>
      </c>
      <c r="AY264">
        <v>20000</v>
      </c>
    </row>
    <row r="265" spans="4:51" x14ac:dyDescent="0.3">
      <c r="D265" t="str">
        <f t="shared" ca="1" si="72"/>
        <v/>
      </c>
      <c r="E265" t="str" cm="1">
        <f t="array" aca="1" ref="E265" ca="1">_xlfn.IFS(D265="","",D265="Starstone", VLOOKUP($BK$4,$BK$6:$BM$11,3)*AI268*AJ268, D265 = "Tristal", VLOOKUP($BK$14,$BK$16:$BM$24,3)*AI268*AJ268, 1=1, VLOOKUP(AO268,$AX$75:$AZ$174,3)*AI268*AJ268)</f>
        <v/>
      </c>
      <c r="F265" t="str" cm="1">
        <f t="array" aca="1" ref="F265" ca="1">IF(D265="","",_xlfn.IFS(AH268&gt;5,"Normal",AND(AH268&lt;=5,$BK$28&lt;=4),VLOOKUP(AF268,$BK$29:$BN$39,2),AND(AH268&lt;=5,$BK$28&gt;=9),VLOOKUP(AF268,$BK$29:$BN$39,2), 1=1, "Normal"))</f>
        <v/>
      </c>
      <c r="G265" t="str" cm="1">
        <f t="array" aca="1" ref="G265" ca="1">IF(D265="","",_xlfn.IFS(AH268&gt;5, "Normal", AND(AH268&lt;=5, $BL$28&lt;=8, $BL$28&gt;=5), VLOOKUP(AG268,$BK$29:$BN$39,3), AND(AH268&lt;=5,$BK$28&gt;=9), VLOOKUP(AG268,$BK$29:$BN$39,3), 1=1, "Normal"))</f>
        <v/>
      </c>
      <c r="H265" t="str">
        <f t="shared" ca="1" si="69"/>
        <v/>
      </c>
      <c r="I265" t="str">
        <f t="shared" ca="1" si="70"/>
        <v/>
      </c>
      <c r="K265" t="str" cm="1">
        <f t="array" aca="1" ref="K265" ca="1">IF(L265="","",(_xlfn.IFS(L265&gt;=15000,VLOOKUP(AW268,$BE$5:$BH$15,4),L265&gt;=4000,VLOOKUP(AW268,$BE$5:$BH$15,3),L265&gt;=100,VLOOKUP(AW268,$BE$5:$BH$15,2))))</f>
        <v/>
      </c>
      <c r="L265" t="str">
        <f t="shared" ca="1" si="71"/>
        <v/>
      </c>
      <c r="AF265" s="1">
        <f t="shared" ca="1" si="63"/>
        <v>7</v>
      </c>
      <c r="AG265" s="1">
        <f t="shared" ca="1" si="63"/>
        <v>6</v>
      </c>
      <c r="AH265" s="1"/>
      <c r="AI265" s="1">
        <f t="shared" ca="1" si="61"/>
        <v>2</v>
      </c>
      <c r="AJ265" s="1">
        <f t="shared" ca="1" si="62"/>
        <v>2</v>
      </c>
      <c r="AO265" s="1">
        <f t="shared" ca="1" si="64"/>
        <v>82</v>
      </c>
      <c r="AP265" s="1">
        <f t="shared" ca="1" si="65"/>
        <v>-189</v>
      </c>
      <c r="AS265" s="1">
        <f t="shared" ca="1" si="66"/>
        <v>72</v>
      </c>
      <c r="AV265" s="1">
        <f t="shared" ca="1" si="67"/>
        <v>-246</v>
      </c>
      <c r="AW265" s="1">
        <f t="shared" ca="1" si="68"/>
        <v>9</v>
      </c>
      <c r="AX265">
        <v>89</v>
      </c>
      <c r="AY265">
        <v>20000</v>
      </c>
    </row>
    <row r="266" spans="4:51" x14ac:dyDescent="0.3">
      <c r="D266" t="str">
        <f t="shared" ca="1" si="72"/>
        <v/>
      </c>
      <c r="E266" t="str" cm="1">
        <f t="array" aca="1" ref="E266" ca="1">_xlfn.IFS(D266="","",D266="Starstone", VLOOKUP($BK$4,$BK$6:$BM$11,3)*AI269*AJ269, D266 = "Tristal", VLOOKUP($BK$14,$BK$16:$BM$24,3)*AI269*AJ269, 1=1, VLOOKUP(AO269,$AX$75:$AZ$174,3)*AI269*AJ269)</f>
        <v/>
      </c>
      <c r="F266" t="str" cm="1">
        <f t="array" aca="1" ref="F266" ca="1">IF(D266="","",_xlfn.IFS(AH269&gt;5,"Normal",AND(AH269&lt;=5,$BK$28&lt;=4),VLOOKUP(AF269,$BK$29:$BN$39,2),AND(AH269&lt;=5,$BK$28&gt;=9),VLOOKUP(AF269,$BK$29:$BN$39,2), 1=1, "Normal"))</f>
        <v/>
      </c>
      <c r="G266" t="str" cm="1">
        <f t="array" aca="1" ref="G266" ca="1">IF(D266="","",_xlfn.IFS(AH269&gt;5, "Normal", AND(AH269&lt;=5, $BL$28&lt;=8, $BL$28&gt;=5), VLOOKUP(AG269,$BK$29:$BN$39,3), AND(AH269&lt;=5,$BK$28&gt;=9), VLOOKUP(AG269,$BK$29:$BN$39,3), 1=1, "Normal"))</f>
        <v/>
      </c>
      <c r="H266" t="str">
        <f t="shared" ca="1" si="69"/>
        <v/>
      </c>
      <c r="I266" t="str">
        <f t="shared" ca="1" si="70"/>
        <v/>
      </c>
      <c r="K266" t="str" cm="1">
        <f t="array" aca="1" ref="K266" ca="1">IF(L266="","",(_xlfn.IFS(L266&gt;=15000,VLOOKUP(AW269,$BE$5:$BH$15,4),L266&gt;=4000,VLOOKUP(AW269,$BE$5:$BH$15,3),L266&gt;=100,VLOOKUP(AW269,$BE$5:$BH$15,2))))</f>
        <v/>
      </c>
      <c r="L266" t="str">
        <f t="shared" ca="1" si="71"/>
        <v/>
      </c>
      <c r="AF266" s="1">
        <f t="shared" ca="1" si="63"/>
        <v>2</v>
      </c>
      <c r="AG266" s="1">
        <f t="shared" ca="1" si="63"/>
        <v>8</v>
      </c>
      <c r="AH266" s="1"/>
      <c r="AI266" s="1">
        <f t="shared" ref="AI266:AI329" ca="1" si="73">IF(F263="Normal",1,VLOOKUP(AF266,$BK$29:$BN$39,4))</f>
        <v>0.25</v>
      </c>
      <c r="AJ266" s="1">
        <f t="shared" ref="AJ266:AJ329" ca="1" si="74">IF(G263="Normal",1,VLOOKUP(AG266,$BK$29:$BN$39,4))</f>
        <v>4</v>
      </c>
      <c r="AO266" s="1">
        <f t="shared" ca="1" si="64"/>
        <v>2</v>
      </c>
      <c r="AP266" s="1">
        <f t="shared" ca="1" si="65"/>
        <v>-190</v>
      </c>
      <c r="AS266" s="1">
        <f t="shared" ca="1" si="66"/>
        <v>39</v>
      </c>
      <c r="AV266" s="1">
        <f t="shared" ca="1" si="67"/>
        <v>-247</v>
      </c>
      <c r="AW266" s="1">
        <f t="shared" ca="1" si="68"/>
        <v>10</v>
      </c>
      <c r="AX266">
        <v>90</v>
      </c>
      <c r="AY266">
        <v>20000</v>
      </c>
    </row>
    <row r="267" spans="4:51" x14ac:dyDescent="0.3">
      <c r="D267" t="str">
        <f t="shared" ca="1" si="72"/>
        <v/>
      </c>
      <c r="E267" t="str" cm="1">
        <f t="array" aca="1" ref="E267" ca="1">_xlfn.IFS(D267="","",D267="Starstone", VLOOKUP($BK$4,$BK$6:$BM$11,3)*AI270*AJ270, D267 = "Tristal", VLOOKUP($BK$14,$BK$16:$BM$24,3)*AI270*AJ270, 1=1, VLOOKUP(AO270,$AX$75:$AZ$174,3)*AI270*AJ270)</f>
        <v/>
      </c>
      <c r="F267" t="str" cm="1">
        <f t="array" aca="1" ref="F267" ca="1">IF(D267="","",_xlfn.IFS(AH270&gt;5,"Normal",AND(AH270&lt;=5,$BK$28&lt;=4),VLOOKUP(AF270,$BK$29:$BN$39,2),AND(AH270&lt;=5,$BK$28&gt;=9),VLOOKUP(AF270,$BK$29:$BN$39,2), 1=1, "Normal"))</f>
        <v/>
      </c>
      <c r="G267" t="str" cm="1">
        <f t="array" aca="1" ref="G267" ca="1">IF(D267="","",_xlfn.IFS(AH270&gt;5, "Normal", AND(AH270&lt;=5, $BL$28&lt;=8, $BL$28&gt;=5), VLOOKUP(AG270,$BK$29:$BN$39,3), AND(AH270&lt;=5,$BK$28&gt;=9), VLOOKUP(AG270,$BK$29:$BN$39,3), 1=1, "Normal"))</f>
        <v/>
      </c>
      <c r="H267" t="str">
        <f t="shared" ca="1" si="69"/>
        <v/>
      </c>
      <c r="I267" t="str">
        <f t="shared" ca="1" si="70"/>
        <v/>
      </c>
      <c r="K267" t="str" cm="1">
        <f t="array" aca="1" ref="K267" ca="1">IF(L267="","",(_xlfn.IFS(L267&gt;=15000,VLOOKUP(AW270,$BE$5:$BH$15,4),L267&gt;=4000,VLOOKUP(AW270,$BE$5:$BH$15,3),L267&gt;=100,VLOOKUP(AW270,$BE$5:$BH$15,2))))</f>
        <v/>
      </c>
      <c r="L267" t="str">
        <f t="shared" ca="1" si="71"/>
        <v/>
      </c>
      <c r="AF267" s="1">
        <f t="shared" ref="AF267:AG330" ca="1" si="75">RANDBETWEEN(1,10)</f>
        <v>10</v>
      </c>
      <c r="AG267" s="1">
        <f t="shared" ca="1" si="75"/>
        <v>2</v>
      </c>
      <c r="AH267" s="1"/>
      <c r="AI267" s="1">
        <f t="shared" ca="1" si="73"/>
        <v>8</v>
      </c>
      <c r="AJ267" s="1">
        <f t="shared" ca="1" si="74"/>
        <v>0.25</v>
      </c>
      <c r="AO267" s="1">
        <f t="shared" ref="AO267:AO330" ca="1" si="76">RANDBETWEEN(1,100)</f>
        <v>21</v>
      </c>
      <c r="AP267" s="1">
        <f t="shared" ref="AP267:AP330" ca="1" si="77">AP266-1</f>
        <v>-191</v>
      </c>
      <c r="AS267" s="1">
        <f t="shared" ref="AS267:AS330" ca="1" si="78">RANDBETWEEN(1,100)</f>
        <v>96</v>
      </c>
      <c r="AV267" s="1">
        <f t="shared" ref="AV267:AV330" ca="1" si="79">AV266-1</f>
        <v>-248</v>
      </c>
      <c r="AW267" s="1">
        <f t="shared" ref="AW267:AW330" ca="1" si="80">RANDBETWEEN(1,10)</f>
        <v>10</v>
      </c>
      <c r="AX267">
        <v>91</v>
      </c>
      <c r="AY267">
        <v>25000</v>
      </c>
    </row>
    <row r="268" spans="4:51" x14ac:dyDescent="0.3">
      <c r="D268" t="str">
        <f t="shared" ca="1" si="72"/>
        <v/>
      </c>
      <c r="E268" t="str" cm="1">
        <f t="array" aca="1" ref="E268" ca="1">_xlfn.IFS(D268="","",D268="Starstone", VLOOKUP($BK$4,$BK$6:$BM$11,3)*AI271*AJ271, D268 = "Tristal", VLOOKUP($BK$14,$BK$16:$BM$24,3)*AI271*AJ271, 1=1, VLOOKUP(AO271,$AX$75:$AZ$174,3)*AI271*AJ271)</f>
        <v/>
      </c>
      <c r="F268" t="str" cm="1">
        <f t="array" aca="1" ref="F268" ca="1">IF(D268="","",_xlfn.IFS(AH271&gt;5,"Normal",AND(AH271&lt;=5,$BK$28&lt;=4),VLOOKUP(AF271,$BK$29:$BN$39,2),AND(AH271&lt;=5,$BK$28&gt;=9),VLOOKUP(AF271,$BK$29:$BN$39,2), 1=1, "Normal"))</f>
        <v/>
      </c>
      <c r="G268" t="str" cm="1">
        <f t="array" aca="1" ref="G268" ca="1">IF(D268="","",_xlfn.IFS(AH271&gt;5, "Normal", AND(AH271&lt;=5, $BL$28&lt;=8, $BL$28&gt;=5), VLOOKUP(AG271,$BK$29:$BN$39,3), AND(AH271&lt;=5,$BK$28&gt;=9), VLOOKUP(AG271,$BK$29:$BN$39,3), 1=1, "Normal"))</f>
        <v/>
      </c>
      <c r="H268" t="str">
        <f t="shared" ca="1" si="69"/>
        <v/>
      </c>
      <c r="I268" t="str">
        <f t="shared" ca="1" si="70"/>
        <v/>
      </c>
      <c r="K268" t="str" cm="1">
        <f t="array" aca="1" ref="K268" ca="1">IF(L268="","",(_xlfn.IFS(L268&gt;=15000,VLOOKUP(AW271,$BE$5:$BH$15,4),L268&gt;=4000,VLOOKUP(AW271,$BE$5:$BH$15,3),L268&gt;=100,VLOOKUP(AW271,$BE$5:$BH$15,2))))</f>
        <v/>
      </c>
      <c r="L268" t="str">
        <f t="shared" ca="1" si="71"/>
        <v/>
      </c>
      <c r="AF268" s="1">
        <f t="shared" ca="1" si="75"/>
        <v>5</v>
      </c>
      <c r="AG268" s="1">
        <f t="shared" ca="1" si="75"/>
        <v>6</v>
      </c>
      <c r="AH268" s="1"/>
      <c r="AI268" s="1">
        <f t="shared" ca="1" si="73"/>
        <v>0.5</v>
      </c>
      <c r="AJ268" s="1">
        <f t="shared" ca="1" si="74"/>
        <v>2</v>
      </c>
      <c r="AO268" s="1">
        <f t="shared" ca="1" si="76"/>
        <v>65</v>
      </c>
      <c r="AP268" s="1">
        <f t="shared" ca="1" si="77"/>
        <v>-192</v>
      </c>
      <c r="AS268" s="1">
        <f t="shared" ca="1" si="78"/>
        <v>42</v>
      </c>
      <c r="AV268" s="1">
        <f t="shared" ca="1" si="79"/>
        <v>-249</v>
      </c>
      <c r="AW268" s="1">
        <f t="shared" ca="1" si="80"/>
        <v>6</v>
      </c>
      <c r="AX268">
        <v>92</v>
      </c>
      <c r="AY268">
        <v>25000</v>
      </c>
    </row>
    <row r="269" spans="4:51" x14ac:dyDescent="0.3">
      <c r="D269" t="str">
        <f t="shared" ca="1" si="72"/>
        <v/>
      </c>
      <c r="E269" t="str" cm="1">
        <f t="array" aca="1" ref="E269" ca="1">_xlfn.IFS(D269="","",D269="Starstone", VLOOKUP($BK$4,$BK$6:$BM$11,3)*AI272*AJ272, D269 = "Tristal", VLOOKUP($BK$14,$BK$16:$BM$24,3)*AI272*AJ272, 1=1, VLOOKUP(AO272,$AX$75:$AZ$174,3)*AI272*AJ272)</f>
        <v/>
      </c>
      <c r="F269" t="str" cm="1">
        <f t="array" aca="1" ref="F269" ca="1">IF(D269="","",_xlfn.IFS(AH272&gt;5,"Normal",AND(AH272&lt;=5,$BK$28&lt;=4),VLOOKUP(AF272,$BK$29:$BN$39,2),AND(AH272&lt;=5,$BK$28&gt;=9),VLOOKUP(AF272,$BK$29:$BN$39,2), 1=1, "Normal"))</f>
        <v/>
      </c>
      <c r="G269" t="str" cm="1">
        <f t="array" aca="1" ref="G269" ca="1">IF(D269="","",_xlfn.IFS(AH272&gt;5, "Normal", AND(AH272&lt;=5, $BL$28&lt;=8, $BL$28&gt;=5), VLOOKUP(AG272,$BK$29:$BN$39,3), AND(AH272&lt;=5,$BK$28&gt;=9), VLOOKUP(AG272,$BK$29:$BN$39,3), 1=1, "Normal"))</f>
        <v/>
      </c>
      <c r="H269" t="str">
        <f t="shared" ca="1" si="69"/>
        <v/>
      </c>
      <c r="I269" t="str">
        <f t="shared" ca="1" si="70"/>
        <v/>
      </c>
      <c r="K269" t="str" cm="1">
        <f t="array" aca="1" ref="K269" ca="1">IF(L269="","",(_xlfn.IFS(L269&gt;=15000,VLOOKUP(AW272,$BE$5:$BH$15,4),L269&gt;=4000,VLOOKUP(AW272,$BE$5:$BH$15,3),L269&gt;=100,VLOOKUP(AW272,$BE$5:$BH$15,2))))</f>
        <v/>
      </c>
      <c r="L269" t="str">
        <f t="shared" ca="1" si="71"/>
        <v/>
      </c>
      <c r="AF269" s="1">
        <f t="shared" ca="1" si="75"/>
        <v>10</v>
      </c>
      <c r="AG269" s="1">
        <f t="shared" ca="1" si="75"/>
        <v>6</v>
      </c>
      <c r="AH269" s="1"/>
      <c r="AI269" s="1">
        <f t="shared" ca="1" si="73"/>
        <v>8</v>
      </c>
      <c r="AJ269" s="1">
        <f t="shared" ca="1" si="74"/>
        <v>2</v>
      </c>
      <c r="AO269" s="1">
        <f t="shared" ca="1" si="76"/>
        <v>97</v>
      </c>
      <c r="AP269" s="1">
        <f t="shared" ca="1" si="77"/>
        <v>-193</v>
      </c>
      <c r="AS269" s="1">
        <f t="shared" ca="1" si="78"/>
        <v>11</v>
      </c>
      <c r="AV269" s="1">
        <f t="shared" ca="1" si="79"/>
        <v>-250</v>
      </c>
      <c r="AW269" s="1">
        <f t="shared" ca="1" si="80"/>
        <v>5</v>
      </c>
      <c r="AX269">
        <v>93</v>
      </c>
      <c r="AY269">
        <v>25000</v>
      </c>
    </row>
    <row r="270" spans="4:51" x14ac:dyDescent="0.3">
      <c r="D270" t="str">
        <f t="shared" ca="1" si="72"/>
        <v/>
      </c>
      <c r="E270" t="str" cm="1">
        <f t="array" aca="1" ref="E270" ca="1">_xlfn.IFS(D270="","",D270="Starstone", VLOOKUP($BK$4,$BK$6:$BM$11,3)*AI273*AJ273, D270 = "Tristal", VLOOKUP($BK$14,$BK$16:$BM$24,3)*AI273*AJ273, 1=1, VLOOKUP(AO273,$AX$75:$AZ$174,3)*AI273*AJ273)</f>
        <v/>
      </c>
      <c r="F270" t="str" cm="1">
        <f t="array" aca="1" ref="F270" ca="1">IF(D270="","",_xlfn.IFS(AH273&gt;5,"Normal",AND(AH273&lt;=5,$BK$28&lt;=4),VLOOKUP(AF273,$BK$29:$BN$39,2),AND(AH273&lt;=5,$BK$28&gt;=9),VLOOKUP(AF273,$BK$29:$BN$39,2), 1=1, "Normal"))</f>
        <v/>
      </c>
      <c r="G270" t="str" cm="1">
        <f t="array" aca="1" ref="G270" ca="1">IF(D270="","",_xlfn.IFS(AH273&gt;5, "Normal", AND(AH273&lt;=5, $BL$28&lt;=8, $BL$28&gt;=5), VLOOKUP(AG273,$BK$29:$BN$39,3), AND(AH273&lt;=5,$BK$28&gt;=9), VLOOKUP(AG273,$BK$29:$BN$39,3), 1=1, "Normal"))</f>
        <v/>
      </c>
      <c r="H270" t="str">
        <f t="shared" ca="1" si="69"/>
        <v/>
      </c>
      <c r="I270" t="str">
        <f t="shared" ca="1" si="70"/>
        <v/>
      </c>
      <c r="K270" t="str" cm="1">
        <f t="array" aca="1" ref="K270" ca="1">IF(L270="","",(_xlfn.IFS(L270&gt;=15000,VLOOKUP(AW273,$BE$5:$BH$15,4),L270&gt;=4000,VLOOKUP(AW273,$BE$5:$BH$15,3),L270&gt;=100,VLOOKUP(AW273,$BE$5:$BH$15,2))))</f>
        <v/>
      </c>
      <c r="L270" t="str">
        <f t="shared" ca="1" si="71"/>
        <v/>
      </c>
      <c r="AF270" s="1">
        <f t="shared" ca="1" si="75"/>
        <v>6</v>
      </c>
      <c r="AG270" s="1">
        <f t="shared" ca="1" si="75"/>
        <v>2</v>
      </c>
      <c r="AH270" s="1"/>
      <c r="AI270" s="1">
        <f t="shared" ca="1" si="73"/>
        <v>2</v>
      </c>
      <c r="AJ270" s="1">
        <f t="shared" ca="1" si="74"/>
        <v>0.25</v>
      </c>
      <c r="AO270" s="1">
        <f t="shared" ca="1" si="76"/>
        <v>46</v>
      </c>
      <c r="AP270" s="1">
        <f t="shared" ca="1" si="77"/>
        <v>-194</v>
      </c>
      <c r="AS270" s="1">
        <f t="shared" ca="1" si="78"/>
        <v>54</v>
      </c>
      <c r="AV270" s="1">
        <f t="shared" ca="1" si="79"/>
        <v>-251</v>
      </c>
      <c r="AW270" s="1">
        <f t="shared" ca="1" si="80"/>
        <v>5</v>
      </c>
      <c r="AX270">
        <v>94</v>
      </c>
      <c r="AY270">
        <v>25000</v>
      </c>
    </row>
    <row r="271" spans="4:51" x14ac:dyDescent="0.3">
      <c r="D271" t="str">
        <f t="shared" ca="1" si="72"/>
        <v/>
      </c>
      <c r="E271" t="str" cm="1">
        <f t="array" aca="1" ref="E271" ca="1">_xlfn.IFS(D271="","",D271="Starstone", VLOOKUP($BK$4,$BK$6:$BM$11,3)*AI274*AJ274, D271 = "Tristal", VLOOKUP($BK$14,$BK$16:$BM$24,3)*AI274*AJ274, 1=1, VLOOKUP(AO274,$AX$75:$AZ$174,3)*AI274*AJ274)</f>
        <v/>
      </c>
      <c r="F271" t="str" cm="1">
        <f t="array" aca="1" ref="F271" ca="1">IF(D271="","",_xlfn.IFS(AH274&gt;5,"Normal",AND(AH274&lt;=5,$BK$28&lt;=4),VLOOKUP(AF274,$BK$29:$BN$39,2),AND(AH274&lt;=5,$BK$28&gt;=9),VLOOKUP(AF274,$BK$29:$BN$39,2), 1=1, "Normal"))</f>
        <v/>
      </c>
      <c r="G271" t="str" cm="1">
        <f t="array" aca="1" ref="G271" ca="1">IF(D271="","",_xlfn.IFS(AH274&gt;5, "Normal", AND(AH274&lt;=5, $BL$28&lt;=8, $BL$28&gt;=5), VLOOKUP(AG274,$BK$29:$BN$39,3), AND(AH274&lt;=5,$BK$28&gt;=9), VLOOKUP(AG274,$BK$29:$BN$39,3), 1=1, "Normal"))</f>
        <v/>
      </c>
      <c r="H271" t="str">
        <f t="shared" ca="1" si="69"/>
        <v/>
      </c>
      <c r="I271" t="str">
        <f t="shared" ca="1" si="70"/>
        <v/>
      </c>
      <c r="K271" t="str" cm="1">
        <f t="array" aca="1" ref="K271" ca="1">IF(L271="","",(_xlfn.IFS(L271&gt;=15000,VLOOKUP(AW274,$BE$5:$BH$15,4),L271&gt;=4000,VLOOKUP(AW274,$BE$5:$BH$15,3),L271&gt;=100,VLOOKUP(AW274,$BE$5:$BH$15,2))))</f>
        <v/>
      </c>
      <c r="L271" t="str">
        <f t="shared" ca="1" si="71"/>
        <v/>
      </c>
      <c r="AF271" s="1">
        <f t="shared" ca="1" si="75"/>
        <v>2</v>
      </c>
      <c r="AG271" s="1">
        <f t="shared" ca="1" si="75"/>
        <v>1</v>
      </c>
      <c r="AH271" s="1"/>
      <c r="AI271" s="1">
        <f t="shared" ca="1" si="73"/>
        <v>0.25</v>
      </c>
      <c r="AJ271" s="1">
        <f t="shared" ca="1" si="74"/>
        <v>0.125</v>
      </c>
      <c r="AO271" s="1">
        <f t="shared" ca="1" si="76"/>
        <v>25</v>
      </c>
      <c r="AP271" s="1">
        <f t="shared" ca="1" si="77"/>
        <v>-195</v>
      </c>
      <c r="AS271" s="1">
        <f t="shared" ca="1" si="78"/>
        <v>60</v>
      </c>
      <c r="AV271" s="1">
        <f t="shared" ca="1" si="79"/>
        <v>-252</v>
      </c>
      <c r="AW271" s="1">
        <f t="shared" ca="1" si="80"/>
        <v>5</v>
      </c>
      <c r="AX271">
        <v>95</v>
      </c>
      <c r="AY271">
        <v>30000</v>
      </c>
    </row>
    <row r="272" spans="4:51" x14ac:dyDescent="0.3">
      <c r="D272" t="str">
        <f t="shared" ca="1" si="72"/>
        <v/>
      </c>
      <c r="E272" t="str" cm="1">
        <f t="array" aca="1" ref="E272" ca="1">_xlfn.IFS(D272="","",D272="Starstone", VLOOKUP($BK$4,$BK$6:$BM$11,3)*AI275*AJ275, D272 = "Tristal", VLOOKUP($BK$14,$BK$16:$BM$24,3)*AI275*AJ275, 1=1, VLOOKUP(AO275,$AX$75:$AZ$174,3)*AI275*AJ275)</f>
        <v/>
      </c>
      <c r="F272" t="str" cm="1">
        <f t="array" aca="1" ref="F272" ca="1">IF(D272="","",_xlfn.IFS(AH275&gt;5,"Normal",AND(AH275&lt;=5,$BK$28&lt;=4),VLOOKUP(AF275,$BK$29:$BN$39,2),AND(AH275&lt;=5,$BK$28&gt;=9),VLOOKUP(AF275,$BK$29:$BN$39,2), 1=1, "Normal"))</f>
        <v/>
      </c>
      <c r="G272" t="str" cm="1">
        <f t="array" aca="1" ref="G272" ca="1">IF(D272="","",_xlfn.IFS(AH275&gt;5, "Normal", AND(AH275&lt;=5, $BL$28&lt;=8, $BL$28&gt;=5), VLOOKUP(AG275,$BK$29:$BN$39,3), AND(AH275&lt;=5,$BK$28&gt;=9), VLOOKUP(AG275,$BK$29:$BN$39,3), 1=1, "Normal"))</f>
        <v/>
      </c>
      <c r="H272" t="str">
        <f t="shared" ca="1" si="69"/>
        <v/>
      </c>
      <c r="I272" t="str">
        <f t="shared" ca="1" si="70"/>
        <v/>
      </c>
      <c r="K272" t="str" cm="1">
        <f t="array" aca="1" ref="K272" ca="1">IF(L272="","",(_xlfn.IFS(L272&gt;=15000,VLOOKUP(AW275,$BE$5:$BH$15,4),L272&gt;=4000,VLOOKUP(AW275,$BE$5:$BH$15,3),L272&gt;=100,VLOOKUP(AW275,$BE$5:$BH$15,2))))</f>
        <v/>
      </c>
      <c r="L272" t="str">
        <f t="shared" ca="1" si="71"/>
        <v/>
      </c>
      <c r="AF272" s="1">
        <f t="shared" ca="1" si="75"/>
        <v>9</v>
      </c>
      <c r="AG272" s="1">
        <f t="shared" ca="1" si="75"/>
        <v>9</v>
      </c>
      <c r="AH272" s="1"/>
      <c r="AI272" s="1">
        <f t="shared" ca="1" si="73"/>
        <v>4</v>
      </c>
      <c r="AJ272" s="1">
        <f t="shared" ca="1" si="74"/>
        <v>4</v>
      </c>
      <c r="AO272" s="1">
        <f t="shared" ca="1" si="76"/>
        <v>20</v>
      </c>
      <c r="AP272" s="1">
        <f t="shared" ca="1" si="77"/>
        <v>-196</v>
      </c>
      <c r="AS272" s="1">
        <f t="shared" ca="1" si="78"/>
        <v>5</v>
      </c>
      <c r="AV272" s="1">
        <f t="shared" ca="1" si="79"/>
        <v>-253</v>
      </c>
      <c r="AW272" s="1">
        <f t="shared" ca="1" si="80"/>
        <v>5</v>
      </c>
      <c r="AX272">
        <v>96</v>
      </c>
      <c r="AY272">
        <v>30000</v>
      </c>
    </row>
    <row r="273" spans="4:51" x14ac:dyDescent="0.3">
      <c r="D273" t="str">
        <f t="shared" ca="1" si="72"/>
        <v/>
      </c>
      <c r="E273" t="str" cm="1">
        <f t="array" aca="1" ref="E273" ca="1">_xlfn.IFS(D273="","",D273="Starstone", VLOOKUP($BK$4,$BK$6:$BM$11,3)*AI276*AJ276, D273 = "Tristal", VLOOKUP($BK$14,$BK$16:$BM$24,3)*AI276*AJ276, 1=1, VLOOKUP(AO276,$AX$75:$AZ$174,3)*AI276*AJ276)</f>
        <v/>
      </c>
      <c r="F273" t="str" cm="1">
        <f t="array" aca="1" ref="F273" ca="1">IF(D273="","",_xlfn.IFS(AH276&gt;5,"Normal",AND(AH276&lt;=5,$BK$28&lt;=4),VLOOKUP(AF276,$BK$29:$BN$39,2),AND(AH276&lt;=5,$BK$28&gt;=9),VLOOKUP(AF276,$BK$29:$BN$39,2), 1=1, "Normal"))</f>
        <v/>
      </c>
      <c r="G273" t="str" cm="1">
        <f t="array" aca="1" ref="G273" ca="1">IF(D273="","",_xlfn.IFS(AH276&gt;5, "Normal", AND(AH276&lt;=5, $BL$28&lt;=8, $BL$28&gt;=5), VLOOKUP(AG276,$BK$29:$BN$39,3), AND(AH276&lt;=5,$BK$28&gt;=9), VLOOKUP(AG276,$BK$29:$BN$39,3), 1=1, "Normal"))</f>
        <v/>
      </c>
      <c r="H273" t="str">
        <f t="shared" ca="1" si="69"/>
        <v/>
      </c>
      <c r="I273" t="str">
        <f t="shared" ca="1" si="70"/>
        <v/>
      </c>
      <c r="K273" t="str" cm="1">
        <f t="array" aca="1" ref="K273" ca="1">IF(L273="","",(_xlfn.IFS(L273&gt;=15000,VLOOKUP(AW276,$BE$5:$BH$15,4),L273&gt;=4000,VLOOKUP(AW276,$BE$5:$BH$15,3),L273&gt;=100,VLOOKUP(AW276,$BE$5:$BH$15,2))))</f>
        <v/>
      </c>
      <c r="L273" t="str">
        <f t="shared" ca="1" si="71"/>
        <v/>
      </c>
      <c r="AF273" s="1">
        <f t="shared" ca="1" si="75"/>
        <v>3</v>
      </c>
      <c r="AG273" s="1">
        <f t="shared" ca="1" si="75"/>
        <v>7</v>
      </c>
      <c r="AH273" s="1"/>
      <c r="AI273" s="1">
        <f t="shared" ca="1" si="73"/>
        <v>0.25</v>
      </c>
      <c r="AJ273" s="1">
        <f t="shared" ca="1" si="74"/>
        <v>2</v>
      </c>
      <c r="AO273" s="1">
        <f t="shared" ca="1" si="76"/>
        <v>99</v>
      </c>
      <c r="AP273" s="1">
        <f t="shared" ca="1" si="77"/>
        <v>-197</v>
      </c>
      <c r="AS273" s="1">
        <f t="shared" ca="1" si="78"/>
        <v>69</v>
      </c>
      <c r="AV273" s="1">
        <f t="shared" ca="1" si="79"/>
        <v>-254</v>
      </c>
      <c r="AW273" s="1">
        <f t="shared" ca="1" si="80"/>
        <v>6</v>
      </c>
      <c r="AX273">
        <v>97</v>
      </c>
      <c r="AY273">
        <v>30000</v>
      </c>
    </row>
    <row r="274" spans="4:51" x14ac:dyDescent="0.3">
      <c r="D274" t="str">
        <f t="shared" ca="1" si="72"/>
        <v/>
      </c>
      <c r="E274" t="str" cm="1">
        <f t="array" aca="1" ref="E274" ca="1">_xlfn.IFS(D274="","",D274="Starstone", VLOOKUP($BK$4,$BK$6:$BM$11,3)*AI277*AJ277, D274 = "Tristal", VLOOKUP($BK$14,$BK$16:$BM$24,3)*AI277*AJ277, 1=1, VLOOKUP(AO277,$AX$75:$AZ$174,3)*AI277*AJ277)</f>
        <v/>
      </c>
      <c r="F274" t="str" cm="1">
        <f t="array" aca="1" ref="F274" ca="1">IF(D274="","",_xlfn.IFS(AH277&gt;5,"Normal",AND(AH277&lt;=5,$BK$28&lt;=4),VLOOKUP(AF277,$BK$29:$BN$39,2),AND(AH277&lt;=5,$BK$28&gt;=9),VLOOKUP(AF277,$BK$29:$BN$39,2), 1=1, "Normal"))</f>
        <v/>
      </c>
      <c r="G274" t="str" cm="1">
        <f t="array" aca="1" ref="G274" ca="1">IF(D274="","",_xlfn.IFS(AH277&gt;5, "Normal", AND(AH277&lt;=5, $BL$28&lt;=8, $BL$28&gt;=5), VLOOKUP(AG277,$BK$29:$BN$39,3), AND(AH277&lt;=5,$BK$28&gt;=9), VLOOKUP(AG277,$BK$29:$BN$39,3), 1=1, "Normal"))</f>
        <v/>
      </c>
      <c r="H274" t="str">
        <f t="shared" ca="1" si="69"/>
        <v/>
      </c>
      <c r="I274" t="str">
        <f t="shared" ca="1" si="70"/>
        <v/>
      </c>
      <c r="K274" t="str" cm="1">
        <f t="array" aca="1" ref="K274" ca="1">IF(L274="","",(_xlfn.IFS(L274&gt;=15000,VLOOKUP(AW277,$BE$5:$BH$15,4),L274&gt;=4000,VLOOKUP(AW277,$BE$5:$BH$15,3),L274&gt;=100,VLOOKUP(AW277,$BE$5:$BH$15,2))))</f>
        <v/>
      </c>
      <c r="L274" t="str">
        <f t="shared" ca="1" si="71"/>
        <v/>
      </c>
      <c r="AF274" s="1">
        <f t="shared" ca="1" si="75"/>
        <v>5</v>
      </c>
      <c r="AG274" s="1">
        <f t="shared" ca="1" si="75"/>
        <v>6</v>
      </c>
      <c r="AH274" s="1"/>
      <c r="AI274" s="1">
        <f t="shared" ca="1" si="73"/>
        <v>0.5</v>
      </c>
      <c r="AJ274" s="1">
        <f t="shared" ca="1" si="74"/>
        <v>2</v>
      </c>
      <c r="AO274" s="1">
        <f t="shared" ca="1" si="76"/>
        <v>30</v>
      </c>
      <c r="AP274" s="1">
        <f t="shared" ca="1" si="77"/>
        <v>-198</v>
      </c>
      <c r="AS274" s="1">
        <f t="shared" ca="1" si="78"/>
        <v>77</v>
      </c>
      <c r="AV274" s="1">
        <f t="shared" ca="1" si="79"/>
        <v>-255</v>
      </c>
      <c r="AW274" s="1">
        <f t="shared" ca="1" si="80"/>
        <v>7</v>
      </c>
      <c r="AX274">
        <v>98</v>
      </c>
      <c r="AY274">
        <v>40000</v>
      </c>
    </row>
    <row r="275" spans="4:51" x14ac:dyDescent="0.3">
      <c r="D275" t="str">
        <f t="shared" ca="1" si="72"/>
        <v/>
      </c>
      <c r="E275" t="str" cm="1">
        <f t="array" aca="1" ref="E275" ca="1">_xlfn.IFS(D275="","",D275="Starstone", VLOOKUP($BK$4,$BK$6:$BM$11,3)*AI278*AJ278, D275 = "Tristal", VLOOKUP($BK$14,$BK$16:$BM$24,3)*AI278*AJ278, 1=1, VLOOKUP(AO278,$AX$75:$AZ$174,3)*AI278*AJ278)</f>
        <v/>
      </c>
      <c r="F275" t="str" cm="1">
        <f t="array" aca="1" ref="F275" ca="1">IF(D275="","",_xlfn.IFS(AH278&gt;5,"Normal",AND(AH278&lt;=5,$BK$28&lt;=4),VLOOKUP(AF278,$BK$29:$BN$39,2),AND(AH278&lt;=5,$BK$28&gt;=9),VLOOKUP(AF278,$BK$29:$BN$39,2), 1=1, "Normal"))</f>
        <v/>
      </c>
      <c r="G275" t="str" cm="1">
        <f t="array" aca="1" ref="G275" ca="1">IF(D275="","",_xlfn.IFS(AH278&gt;5, "Normal", AND(AH278&lt;=5, $BL$28&lt;=8, $BL$28&gt;=5), VLOOKUP(AG278,$BK$29:$BN$39,3), AND(AH278&lt;=5,$BK$28&gt;=9), VLOOKUP(AG278,$BK$29:$BN$39,3), 1=1, "Normal"))</f>
        <v/>
      </c>
      <c r="H275" t="str">
        <f t="shared" ca="1" si="69"/>
        <v/>
      </c>
      <c r="I275" t="str">
        <f t="shared" ca="1" si="70"/>
        <v/>
      </c>
      <c r="K275" t="str" cm="1">
        <f t="array" aca="1" ref="K275" ca="1">IF(L275="","",(_xlfn.IFS(L275&gt;=15000,VLOOKUP(AW278,$BE$5:$BH$15,4),L275&gt;=4000,VLOOKUP(AW278,$BE$5:$BH$15,3),L275&gt;=100,VLOOKUP(AW278,$BE$5:$BH$15,2))))</f>
        <v/>
      </c>
      <c r="L275" t="str">
        <f t="shared" ca="1" si="71"/>
        <v/>
      </c>
      <c r="AF275" s="1">
        <f t="shared" ca="1" si="75"/>
        <v>10</v>
      </c>
      <c r="AG275" s="1">
        <f t="shared" ca="1" si="75"/>
        <v>8</v>
      </c>
      <c r="AH275" s="1"/>
      <c r="AI275" s="1">
        <f t="shared" ca="1" si="73"/>
        <v>8</v>
      </c>
      <c r="AJ275" s="1">
        <f t="shared" ca="1" si="74"/>
        <v>4</v>
      </c>
      <c r="AO275" s="1">
        <f t="shared" ca="1" si="76"/>
        <v>69</v>
      </c>
      <c r="AP275" s="1">
        <f t="shared" ca="1" si="77"/>
        <v>-199</v>
      </c>
      <c r="AS275" s="1">
        <f t="shared" ca="1" si="78"/>
        <v>24</v>
      </c>
      <c r="AV275" s="1">
        <f t="shared" ca="1" si="79"/>
        <v>-256</v>
      </c>
      <c r="AW275" s="1">
        <f t="shared" ca="1" si="80"/>
        <v>5</v>
      </c>
      <c r="AX275">
        <v>99</v>
      </c>
      <c r="AY275">
        <v>40000</v>
      </c>
    </row>
    <row r="276" spans="4:51" x14ac:dyDescent="0.3">
      <c r="D276" t="str">
        <f t="shared" ca="1" si="72"/>
        <v/>
      </c>
      <c r="E276" t="str" cm="1">
        <f t="array" aca="1" ref="E276" ca="1">_xlfn.IFS(D276="","",D276="Starstone", VLOOKUP($BK$4,$BK$6:$BM$11,3)*AI279*AJ279, D276 = "Tristal", VLOOKUP($BK$14,$BK$16:$BM$24,3)*AI279*AJ279, 1=1, VLOOKUP(AO279,$AX$75:$AZ$174,3)*AI279*AJ279)</f>
        <v/>
      </c>
      <c r="F276" t="str" cm="1">
        <f t="array" aca="1" ref="F276" ca="1">IF(D276="","",_xlfn.IFS(AH279&gt;5,"Normal",AND(AH279&lt;=5,$BK$28&lt;=4),VLOOKUP(AF279,$BK$29:$BN$39,2),AND(AH279&lt;=5,$BK$28&gt;=9),VLOOKUP(AF279,$BK$29:$BN$39,2), 1=1, "Normal"))</f>
        <v/>
      </c>
      <c r="G276" t="str" cm="1">
        <f t="array" aca="1" ref="G276" ca="1">IF(D276="","",_xlfn.IFS(AH279&gt;5, "Normal", AND(AH279&lt;=5, $BL$28&lt;=8, $BL$28&gt;=5), VLOOKUP(AG279,$BK$29:$BN$39,3), AND(AH279&lt;=5,$BK$28&gt;=9), VLOOKUP(AG279,$BK$29:$BN$39,3), 1=1, "Normal"))</f>
        <v/>
      </c>
      <c r="H276" t="str">
        <f t="shared" ca="1" si="69"/>
        <v/>
      </c>
      <c r="I276" t="str">
        <f t="shared" ca="1" si="70"/>
        <v/>
      </c>
      <c r="K276" t="str" cm="1">
        <f t="array" aca="1" ref="K276" ca="1">IF(L276="","",(_xlfn.IFS(L276&gt;=15000,VLOOKUP(AW279,$BE$5:$BH$15,4),L276&gt;=4000,VLOOKUP(AW279,$BE$5:$BH$15,3),L276&gt;=100,VLOOKUP(AW279,$BE$5:$BH$15,2))))</f>
        <v/>
      </c>
      <c r="L276" t="str">
        <f t="shared" ca="1" si="71"/>
        <v/>
      </c>
      <c r="AF276" s="1">
        <f t="shared" ca="1" si="75"/>
        <v>7</v>
      </c>
      <c r="AG276" s="1">
        <f t="shared" ca="1" si="75"/>
        <v>10</v>
      </c>
      <c r="AH276" s="1"/>
      <c r="AI276" s="1">
        <f t="shared" ca="1" si="73"/>
        <v>2</v>
      </c>
      <c r="AJ276" s="1">
        <f t="shared" ca="1" si="74"/>
        <v>8</v>
      </c>
      <c r="AO276" s="1">
        <f t="shared" ca="1" si="76"/>
        <v>73</v>
      </c>
      <c r="AP276" s="1">
        <f t="shared" ca="1" si="77"/>
        <v>-200</v>
      </c>
      <c r="AS276" s="1">
        <f t="shared" ca="1" si="78"/>
        <v>36</v>
      </c>
      <c r="AV276" s="1">
        <f t="shared" ca="1" si="79"/>
        <v>-257</v>
      </c>
      <c r="AW276" s="1">
        <f t="shared" ca="1" si="80"/>
        <v>3</v>
      </c>
      <c r="AX276">
        <v>100</v>
      </c>
      <c r="AY276">
        <v>50000</v>
      </c>
    </row>
    <row r="277" spans="4:51" x14ac:dyDescent="0.3">
      <c r="D277" t="str">
        <f t="shared" ca="1" si="72"/>
        <v/>
      </c>
      <c r="E277" t="str" cm="1">
        <f t="array" aca="1" ref="E277" ca="1">_xlfn.IFS(D277="","",D277="Starstone", VLOOKUP($BK$4,$BK$6:$BM$11,3)*AI280*AJ280, D277 = "Tristal", VLOOKUP($BK$14,$BK$16:$BM$24,3)*AI280*AJ280, 1=1, VLOOKUP(AO280,$AX$75:$AZ$174,3)*AI280*AJ280)</f>
        <v/>
      </c>
      <c r="F277" t="str" cm="1">
        <f t="array" aca="1" ref="F277" ca="1">IF(D277="","",_xlfn.IFS(AH280&gt;5,"Normal",AND(AH280&lt;=5,$BK$28&lt;=4),VLOOKUP(AF280,$BK$29:$BN$39,2),AND(AH280&lt;=5,$BK$28&gt;=9),VLOOKUP(AF280,$BK$29:$BN$39,2), 1=1, "Normal"))</f>
        <v/>
      </c>
      <c r="G277" t="str" cm="1">
        <f t="array" aca="1" ref="G277" ca="1">IF(D277="","",_xlfn.IFS(AH280&gt;5, "Normal", AND(AH280&lt;=5, $BL$28&lt;=8, $BL$28&gt;=5), VLOOKUP(AG280,$BK$29:$BN$39,3), AND(AH280&lt;=5,$BK$28&gt;=9), VLOOKUP(AG280,$BK$29:$BN$39,3), 1=1, "Normal"))</f>
        <v/>
      </c>
      <c r="H277" t="str">
        <f t="shared" ca="1" si="69"/>
        <v/>
      </c>
      <c r="I277" t="str">
        <f t="shared" ca="1" si="70"/>
        <v/>
      </c>
      <c r="K277" t="str" cm="1">
        <f t="array" aca="1" ref="K277" ca="1">IF(L277="","",(_xlfn.IFS(L277&gt;=15000,VLOOKUP(AW280,$BE$5:$BH$15,4),L277&gt;=4000,VLOOKUP(AW280,$BE$5:$BH$15,3),L277&gt;=100,VLOOKUP(AW280,$BE$5:$BH$15,2))))</f>
        <v/>
      </c>
      <c r="L277" t="str">
        <f t="shared" ca="1" si="71"/>
        <v/>
      </c>
      <c r="AF277" s="1">
        <f t="shared" ca="1" si="75"/>
        <v>7</v>
      </c>
      <c r="AG277" s="1">
        <f t="shared" ca="1" si="75"/>
        <v>3</v>
      </c>
      <c r="AH277" s="1"/>
      <c r="AI277" s="1">
        <f t="shared" ca="1" si="73"/>
        <v>2</v>
      </c>
      <c r="AJ277" s="1">
        <f t="shared" ca="1" si="74"/>
        <v>0.25</v>
      </c>
      <c r="AO277" s="1">
        <f t="shared" ca="1" si="76"/>
        <v>45</v>
      </c>
      <c r="AP277" s="1">
        <f t="shared" ca="1" si="77"/>
        <v>-201</v>
      </c>
      <c r="AS277" s="1">
        <f t="shared" ca="1" si="78"/>
        <v>21</v>
      </c>
      <c r="AV277" s="1">
        <f t="shared" ca="1" si="79"/>
        <v>-258</v>
      </c>
      <c r="AW277" s="1">
        <f t="shared" ca="1" si="80"/>
        <v>2</v>
      </c>
    </row>
    <row r="278" spans="4:51" x14ac:dyDescent="0.3">
      <c r="D278" t="str">
        <f t="shared" ca="1" si="72"/>
        <v/>
      </c>
      <c r="E278" t="str" cm="1">
        <f t="array" aca="1" ref="E278" ca="1">_xlfn.IFS(D278="","",D278="Starstone", VLOOKUP($BK$4,$BK$6:$BM$11,3)*AI281*AJ281, D278 = "Tristal", VLOOKUP($BK$14,$BK$16:$BM$24,3)*AI281*AJ281, 1=1, VLOOKUP(AO281,$AX$75:$AZ$174,3)*AI281*AJ281)</f>
        <v/>
      </c>
      <c r="F278" t="str" cm="1">
        <f t="array" aca="1" ref="F278" ca="1">IF(D278="","",_xlfn.IFS(AH281&gt;5,"Normal",AND(AH281&lt;=5,$BK$28&lt;=4),VLOOKUP(AF281,$BK$29:$BN$39,2),AND(AH281&lt;=5,$BK$28&gt;=9),VLOOKUP(AF281,$BK$29:$BN$39,2), 1=1, "Normal"))</f>
        <v/>
      </c>
      <c r="G278" t="str" cm="1">
        <f t="array" aca="1" ref="G278" ca="1">IF(D278="","",_xlfn.IFS(AH281&gt;5, "Normal", AND(AH281&lt;=5, $BL$28&lt;=8, $BL$28&gt;=5), VLOOKUP(AG281,$BK$29:$BN$39,3), AND(AH281&lt;=5,$BK$28&gt;=9), VLOOKUP(AG281,$BK$29:$BN$39,3), 1=1, "Normal"))</f>
        <v/>
      </c>
      <c r="H278" t="str">
        <f t="shared" ca="1" si="69"/>
        <v/>
      </c>
      <c r="I278" t="str">
        <f t="shared" ca="1" si="70"/>
        <v/>
      </c>
      <c r="K278" t="str" cm="1">
        <f t="array" aca="1" ref="K278" ca="1">IF(L278="","",(_xlfn.IFS(L278&gt;=15000,VLOOKUP(AW281,$BE$5:$BH$15,4),L278&gt;=4000,VLOOKUP(AW281,$BE$5:$BH$15,3),L278&gt;=100,VLOOKUP(AW281,$BE$5:$BH$15,2))))</f>
        <v/>
      </c>
      <c r="L278" t="str">
        <f t="shared" ca="1" si="71"/>
        <v/>
      </c>
      <c r="AF278" s="1">
        <f t="shared" ca="1" si="75"/>
        <v>5</v>
      </c>
      <c r="AG278" s="1">
        <f t="shared" ca="1" si="75"/>
        <v>9</v>
      </c>
      <c r="AH278" s="1"/>
      <c r="AI278" s="1">
        <f t="shared" ca="1" si="73"/>
        <v>0.5</v>
      </c>
      <c r="AJ278" s="1">
        <f t="shared" ca="1" si="74"/>
        <v>4</v>
      </c>
      <c r="AO278" s="1">
        <f t="shared" ca="1" si="76"/>
        <v>56</v>
      </c>
      <c r="AP278" s="1">
        <f t="shared" ca="1" si="77"/>
        <v>-202</v>
      </c>
      <c r="AS278" s="1">
        <f t="shared" ca="1" si="78"/>
        <v>24</v>
      </c>
      <c r="AV278" s="1">
        <f t="shared" ca="1" si="79"/>
        <v>-259</v>
      </c>
      <c r="AW278" s="1">
        <f t="shared" ca="1" si="80"/>
        <v>1</v>
      </c>
    </row>
    <row r="279" spans="4:51" x14ac:dyDescent="0.3">
      <c r="D279" t="str">
        <f t="shared" ca="1" si="72"/>
        <v/>
      </c>
      <c r="E279" t="str" cm="1">
        <f t="array" aca="1" ref="E279" ca="1">_xlfn.IFS(D279="","",D279="Starstone", VLOOKUP($BK$4,$BK$6:$BM$11,3)*AI282*AJ282, D279 = "Tristal", VLOOKUP($BK$14,$BK$16:$BM$24,3)*AI282*AJ282, 1=1, VLOOKUP(AO282,$AX$75:$AZ$174,3)*AI282*AJ282)</f>
        <v/>
      </c>
      <c r="F279" t="str" cm="1">
        <f t="array" aca="1" ref="F279" ca="1">IF(D279="","",_xlfn.IFS(AH282&gt;5,"Normal",AND(AH282&lt;=5,$BK$28&lt;=4),VLOOKUP(AF282,$BK$29:$BN$39,2),AND(AH282&lt;=5,$BK$28&gt;=9),VLOOKUP(AF282,$BK$29:$BN$39,2), 1=1, "Normal"))</f>
        <v/>
      </c>
      <c r="G279" t="str" cm="1">
        <f t="array" aca="1" ref="G279" ca="1">IF(D279="","",_xlfn.IFS(AH282&gt;5, "Normal", AND(AH282&lt;=5, $BL$28&lt;=8, $BL$28&gt;=5), VLOOKUP(AG282,$BK$29:$BN$39,3), AND(AH282&lt;=5,$BK$28&gt;=9), VLOOKUP(AG282,$BK$29:$BN$39,3), 1=1, "Normal"))</f>
        <v/>
      </c>
      <c r="H279" t="str">
        <f t="shared" ca="1" si="69"/>
        <v/>
      </c>
      <c r="I279" t="str">
        <f t="shared" ca="1" si="70"/>
        <v/>
      </c>
      <c r="K279" t="str" cm="1">
        <f t="array" aca="1" ref="K279" ca="1">IF(L279="","",(_xlfn.IFS(L279&gt;=15000,VLOOKUP(AW282,$BE$5:$BH$15,4),L279&gt;=4000,VLOOKUP(AW282,$BE$5:$BH$15,3),L279&gt;=100,VLOOKUP(AW282,$BE$5:$BH$15,2))))</f>
        <v/>
      </c>
      <c r="L279" t="str">
        <f t="shared" ca="1" si="71"/>
        <v/>
      </c>
      <c r="AF279" s="1">
        <f t="shared" ca="1" si="75"/>
        <v>1</v>
      </c>
      <c r="AG279" s="1">
        <f t="shared" ca="1" si="75"/>
        <v>6</v>
      </c>
      <c r="AH279" s="1"/>
      <c r="AI279" s="1">
        <f t="shared" ca="1" si="73"/>
        <v>0.125</v>
      </c>
      <c r="AJ279" s="1">
        <f t="shared" ca="1" si="74"/>
        <v>2</v>
      </c>
      <c r="AO279" s="1">
        <f t="shared" ca="1" si="76"/>
        <v>77</v>
      </c>
      <c r="AP279" s="1">
        <f t="shared" ca="1" si="77"/>
        <v>-203</v>
      </c>
      <c r="AS279" s="1">
        <f t="shared" ca="1" si="78"/>
        <v>27</v>
      </c>
      <c r="AV279" s="1">
        <f t="shared" ca="1" si="79"/>
        <v>-260</v>
      </c>
      <c r="AW279" s="1">
        <f t="shared" ca="1" si="80"/>
        <v>1</v>
      </c>
    </row>
    <row r="280" spans="4:51" x14ac:dyDescent="0.3">
      <c r="D280" t="str">
        <f t="shared" ca="1" si="72"/>
        <v/>
      </c>
      <c r="E280" t="str" cm="1">
        <f t="array" aca="1" ref="E280" ca="1">_xlfn.IFS(D280="","",D280="Starstone", VLOOKUP($BK$4,$BK$6:$BM$11,3)*AI283*AJ283, D280 = "Tristal", VLOOKUP($BK$14,$BK$16:$BM$24,3)*AI283*AJ283, 1=1, VLOOKUP(AO283,$AX$75:$AZ$174,3)*AI283*AJ283)</f>
        <v/>
      </c>
      <c r="F280" t="str" cm="1">
        <f t="array" aca="1" ref="F280" ca="1">IF(D280="","",_xlfn.IFS(AH283&gt;5,"Normal",AND(AH283&lt;=5,$BK$28&lt;=4),VLOOKUP(AF283,$BK$29:$BN$39,2),AND(AH283&lt;=5,$BK$28&gt;=9),VLOOKUP(AF283,$BK$29:$BN$39,2), 1=1, "Normal"))</f>
        <v/>
      </c>
      <c r="G280" t="str" cm="1">
        <f t="array" aca="1" ref="G280" ca="1">IF(D280="","",_xlfn.IFS(AH283&gt;5, "Normal", AND(AH283&lt;=5, $BL$28&lt;=8, $BL$28&gt;=5), VLOOKUP(AG283,$BK$29:$BN$39,3), AND(AH283&lt;=5,$BK$28&gt;=9), VLOOKUP(AG283,$BK$29:$BN$39,3), 1=1, "Normal"))</f>
        <v/>
      </c>
      <c r="H280" t="str">
        <f t="shared" ca="1" si="69"/>
        <v/>
      </c>
      <c r="I280" t="str">
        <f t="shared" ca="1" si="70"/>
        <v/>
      </c>
      <c r="K280" t="str" cm="1">
        <f t="array" aca="1" ref="K280" ca="1">IF(L280="","",(_xlfn.IFS(L280&gt;=15000,VLOOKUP(AW283,$BE$5:$BH$15,4),L280&gt;=4000,VLOOKUP(AW283,$BE$5:$BH$15,3),L280&gt;=100,VLOOKUP(AW283,$BE$5:$BH$15,2))))</f>
        <v/>
      </c>
      <c r="L280" t="str">
        <f t="shared" ca="1" si="71"/>
        <v/>
      </c>
      <c r="AF280" s="1">
        <f t="shared" ca="1" si="75"/>
        <v>9</v>
      </c>
      <c r="AG280" s="1">
        <f t="shared" ca="1" si="75"/>
        <v>6</v>
      </c>
      <c r="AH280" s="1"/>
      <c r="AI280" s="1">
        <f t="shared" ca="1" si="73"/>
        <v>4</v>
      </c>
      <c r="AJ280" s="1">
        <f t="shared" ca="1" si="74"/>
        <v>2</v>
      </c>
      <c r="AO280" s="1">
        <f t="shared" ca="1" si="76"/>
        <v>76</v>
      </c>
      <c r="AP280" s="1">
        <f t="shared" ca="1" si="77"/>
        <v>-204</v>
      </c>
      <c r="AS280" s="1">
        <f t="shared" ca="1" si="78"/>
        <v>31</v>
      </c>
      <c r="AV280" s="1">
        <f t="shared" ca="1" si="79"/>
        <v>-261</v>
      </c>
      <c r="AW280" s="1">
        <f t="shared" ca="1" si="80"/>
        <v>4</v>
      </c>
    </row>
    <row r="281" spans="4:51" x14ac:dyDescent="0.3">
      <c r="D281" t="str">
        <f t="shared" ca="1" si="72"/>
        <v/>
      </c>
      <c r="E281" t="str" cm="1">
        <f t="array" aca="1" ref="E281" ca="1">_xlfn.IFS(D281="","",D281="Starstone", VLOOKUP($BK$4,$BK$6:$BM$11,3)*AI284*AJ284, D281 = "Tristal", VLOOKUP($BK$14,$BK$16:$BM$24,3)*AI284*AJ284, 1=1, VLOOKUP(AO284,$AX$75:$AZ$174,3)*AI284*AJ284)</f>
        <v/>
      </c>
      <c r="F281" t="str" cm="1">
        <f t="array" aca="1" ref="F281" ca="1">IF(D281="","",_xlfn.IFS(AH284&gt;5,"Normal",AND(AH284&lt;=5,$BK$28&lt;=4),VLOOKUP(AF284,$BK$29:$BN$39,2),AND(AH284&lt;=5,$BK$28&gt;=9),VLOOKUP(AF284,$BK$29:$BN$39,2), 1=1, "Normal"))</f>
        <v/>
      </c>
      <c r="G281" t="str" cm="1">
        <f t="array" aca="1" ref="G281" ca="1">IF(D281="","",_xlfn.IFS(AH284&gt;5, "Normal", AND(AH284&lt;=5, $BL$28&lt;=8, $BL$28&gt;=5), VLOOKUP(AG284,$BK$29:$BN$39,3), AND(AH284&lt;=5,$BK$28&gt;=9), VLOOKUP(AG284,$BK$29:$BN$39,3), 1=1, "Normal"))</f>
        <v/>
      </c>
      <c r="H281" t="str">
        <f t="shared" ca="1" si="69"/>
        <v/>
      </c>
      <c r="I281" t="str">
        <f t="shared" ca="1" si="70"/>
        <v/>
      </c>
      <c r="K281" t="str" cm="1">
        <f t="array" aca="1" ref="K281" ca="1">IF(L281="","",(_xlfn.IFS(L281&gt;=15000,VLOOKUP(AW284,$BE$5:$BH$15,4),L281&gt;=4000,VLOOKUP(AW284,$BE$5:$BH$15,3),L281&gt;=100,VLOOKUP(AW284,$BE$5:$BH$15,2))))</f>
        <v/>
      </c>
      <c r="L281" t="str">
        <f t="shared" ca="1" si="71"/>
        <v/>
      </c>
      <c r="AF281" s="1">
        <f t="shared" ca="1" si="75"/>
        <v>1</v>
      </c>
      <c r="AG281" s="1">
        <f t="shared" ca="1" si="75"/>
        <v>10</v>
      </c>
      <c r="AH281" s="1"/>
      <c r="AI281" s="1">
        <f t="shared" ca="1" si="73"/>
        <v>0.125</v>
      </c>
      <c r="AJ281" s="1">
        <f t="shared" ca="1" si="74"/>
        <v>8</v>
      </c>
      <c r="AO281" s="1">
        <f t="shared" ca="1" si="76"/>
        <v>61</v>
      </c>
      <c r="AP281" s="1">
        <f t="shared" ca="1" si="77"/>
        <v>-205</v>
      </c>
      <c r="AS281" s="1">
        <f t="shared" ca="1" si="78"/>
        <v>91</v>
      </c>
      <c r="AV281" s="1">
        <f t="shared" ca="1" si="79"/>
        <v>-262</v>
      </c>
      <c r="AW281" s="1">
        <f t="shared" ca="1" si="80"/>
        <v>7</v>
      </c>
    </row>
    <row r="282" spans="4:51" x14ac:dyDescent="0.3">
      <c r="D282" t="str">
        <f t="shared" ca="1" si="72"/>
        <v/>
      </c>
      <c r="E282" t="str" cm="1">
        <f t="array" aca="1" ref="E282" ca="1">_xlfn.IFS(D282="","",D282="Starstone", VLOOKUP($BK$4,$BK$6:$BM$11,3)*AI285*AJ285, D282 = "Tristal", VLOOKUP($BK$14,$BK$16:$BM$24,3)*AI285*AJ285, 1=1, VLOOKUP(AO285,$AX$75:$AZ$174,3)*AI285*AJ285)</f>
        <v/>
      </c>
      <c r="F282" t="str" cm="1">
        <f t="array" aca="1" ref="F282" ca="1">IF(D282="","",_xlfn.IFS(AH285&gt;5,"Normal",AND(AH285&lt;=5,$BK$28&lt;=4),VLOOKUP(AF285,$BK$29:$BN$39,2),AND(AH285&lt;=5,$BK$28&gt;=9),VLOOKUP(AF285,$BK$29:$BN$39,2), 1=1, "Normal"))</f>
        <v/>
      </c>
      <c r="G282" t="str" cm="1">
        <f t="array" aca="1" ref="G282" ca="1">IF(D282="","",_xlfn.IFS(AH285&gt;5, "Normal", AND(AH285&lt;=5, $BL$28&lt;=8, $BL$28&gt;=5), VLOOKUP(AG285,$BK$29:$BN$39,3), AND(AH285&lt;=5,$BK$28&gt;=9), VLOOKUP(AG285,$BK$29:$BN$39,3), 1=1, "Normal"))</f>
        <v/>
      </c>
      <c r="H282" t="str">
        <f t="shared" ca="1" si="69"/>
        <v/>
      </c>
      <c r="I282" t="str">
        <f t="shared" ca="1" si="70"/>
        <v/>
      </c>
      <c r="K282" t="str" cm="1">
        <f t="array" aca="1" ref="K282" ca="1">IF(L282="","",(_xlfn.IFS(L282&gt;=15000,VLOOKUP(AW285,$BE$5:$BH$15,4),L282&gt;=4000,VLOOKUP(AW285,$BE$5:$BH$15,3),L282&gt;=100,VLOOKUP(AW285,$BE$5:$BH$15,2))))</f>
        <v/>
      </c>
      <c r="L282" t="str">
        <f t="shared" ca="1" si="71"/>
        <v/>
      </c>
      <c r="AF282" s="1">
        <f t="shared" ca="1" si="75"/>
        <v>9</v>
      </c>
      <c r="AG282" s="1">
        <f t="shared" ca="1" si="75"/>
        <v>3</v>
      </c>
      <c r="AH282" s="1"/>
      <c r="AI282" s="1">
        <f t="shared" ca="1" si="73"/>
        <v>4</v>
      </c>
      <c r="AJ282" s="1">
        <f t="shared" ca="1" si="74"/>
        <v>0.25</v>
      </c>
      <c r="AO282" s="1">
        <f t="shared" ca="1" si="76"/>
        <v>36</v>
      </c>
      <c r="AP282" s="1">
        <f t="shared" ca="1" si="77"/>
        <v>-206</v>
      </c>
      <c r="AS282" s="1">
        <f t="shared" ca="1" si="78"/>
        <v>41</v>
      </c>
      <c r="AV282" s="1">
        <f t="shared" ca="1" si="79"/>
        <v>-263</v>
      </c>
      <c r="AW282" s="1">
        <f t="shared" ca="1" si="80"/>
        <v>7</v>
      </c>
    </row>
    <row r="283" spans="4:51" x14ac:dyDescent="0.3">
      <c r="D283" t="str">
        <f t="shared" ca="1" si="72"/>
        <v/>
      </c>
      <c r="E283" t="str" cm="1">
        <f t="array" aca="1" ref="E283" ca="1">_xlfn.IFS(D283="","",D283="Starstone", VLOOKUP($BK$4,$BK$6:$BM$11,3)*AI286*AJ286, D283 = "Tristal", VLOOKUP($BK$14,$BK$16:$BM$24,3)*AI286*AJ286, 1=1, VLOOKUP(AO286,$AX$75:$AZ$174,3)*AI286*AJ286)</f>
        <v/>
      </c>
      <c r="F283" t="str" cm="1">
        <f t="array" aca="1" ref="F283" ca="1">IF(D283="","",_xlfn.IFS(AH286&gt;5,"Normal",AND(AH286&lt;=5,$BK$28&lt;=4),VLOOKUP(AF286,$BK$29:$BN$39,2),AND(AH286&lt;=5,$BK$28&gt;=9),VLOOKUP(AF286,$BK$29:$BN$39,2), 1=1, "Normal"))</f>
        <v/>
      </c>
      <c r="G283" t="str" cm="1">
        <f t="array" aca="1" ref="G283" ca="1">IF(D283="","",_xlfn.IFS(AH286&gt;5, "Normal", AND(AH286&lt;=5, $BL$28&lt;=8, $BL$28&gt;=5), VLOOKUP(AG286,$BK$29:$BN$39,3), AND(AH286&lt;=5,$BK$28&gt;=9), VLOOKUP(AG286,$BK$29:$BN$39,3), 1=1, "Normal"))</f>
        <v/>
      </c>
      <c r="H283" t="str">
        <f t="shared" ca="1" si="69"/>
        <v/>
      </c>
      <c r="I283" t="str">
        <f t="shared" ca="1" si="70"/>
        <v/>
      </c>
      <c r="K283" t="str" cm="1">
        <f t="array" aca="1" ref="K283" ca="1">IF(L283="","",(_xlfn.IFS(L283&gt;=15000,VLOOKUP(AW286,$BE$5:$BH$15,4),L283&gt;=4000,VLOOKUP(AW286,$BE$5:$BH$15,3),L283&gt;=100,VLOOKUP(AW286,$BE$5:$BH$15,2))))</f>
        <v/>
      </c>
      <c r="L283" t="str">
        <f t="shared" ca="1" si="71"/>
        <v/>
      </c>
      <c r="AF283" s="1">
        <f t="shared" ca="1" si="75"/>
        <v>7</v>
      </c>
      <c r="AG283" s="1">
        <f t="shared" ca="1" si="75"/>
        <v>5</v>
      </c>
      <c r="AH283" s="1"/>
      <c r="AI283" s="1">
        <f t="shared" ca="1" si="73"/>
        <v>2</v>
      </c>
      <c r="AJ283" s="1">
        <f t="shared" ca="1" si="74"/>
        <v>0.5</v>
      </c>
      <c r="AO283" s="1">
        <f t="shared" ca="1" si="76"/>
        <v>85</v>
      </c>
      <c r="AP283" s="1">
        <f t="shared" ca="1" si="77"/>
        <v>-207</v>
      </c>
      <c r="AS283" s="1">
        <f t="shared" ca="1" si="78"/>
        <v>85</v>
      </c>
      <c r="AV283" s="1">
        <f t="shared" ca="1" si="79"/>
        <v>-264</v>
      </c>
      <c r="AW283" s="1">
        <f t="shared" ca="1" si="80"/>
        <v>8</v>
      </c>
    </row>
    <row r="284" spans="4:51" x14ac:dyDescent="0.3">
      <c r="D284" t="str">
        <f t="shared" ca="1" si="72"/>
        <v/>
      </c>
      <c r="E284" t="str" cm="1">
        <f t="array" aca="1" ref="E284" ca="1">_xlfn.IFS(D284="","",D284="Starstone", VLOOKUP($BK$4,$BK$6:$BM$11,3)*AI287*AJ287, D284 = "Tristal", VLOOKUP($BK$14,$BK$16:$BM$24,3)*AI287*AJ287, 1=1, VLOOKUP(AO287,$AX$75:$AZ$174,3)*AI287*AJ287)</f>
        <v/>
      </c>
      <c r="F284" t="str" cm="1">
        <f t="array" aca="1" ref="F284" ca="1">IF(D284="","",_xlfn.IFS(AH287&gt;5,"Normal",AND(AH287&lt;=5,$BK$28&lt;=4),VLOOKUP(AF287,$BK$29:$BN$39,2),AND(AH287&lt;=5,$BK$28&gt;=9),VLOOKUP(AF287,$BK$29:$BN$39,2), 1=1, "Normal"))</f>
        <v/>
      </c>
      <c r="G284" t="str" cm="1">
        <f t="array" aca="1" ref="G284" ca="1">IF(D284="","",_xlfn.IFS(AH287&gt;5, "Normal", AND(AH287&lt;=5, $BL$28&lt;=8, $BL$28&gt;=5), VLOOKUP(AG287,$BK$29:$BN$39,3), AND(AH287&lt;=5,$BK$28&gt;=9), VLOOKUP(AG287,$BK$29:$BN$39,3), 1=1, "Normal"))</f>
        <v/>
      </c>
      <c r="H284" t="str">
        <f t="shared" ca="1" si="69"/>
        <v/>
      </c>
      <c r="I284" t="str">
        <f t="shared" ca="1" si="70"/>
        <v/>
      </c>
      <c r="K284" t="str" cm="1">
        <f t="array" aca="1" ref="K284" ca="1">IF(L284="","",(_xlfn.IFS(L284&gt;=15000,VLOOKUP(AW287,$BE$5:$BH$15,4),L284&gt;=4000,VLOOKUP(AW287,$BE$5:$BH$15,3),L284&gt;=100,VLOOKUP(AW287,$BE$5:$BH$15,2))))</f>
        <v/>
      </c>
      <c r="L284" t="str">
        <f t="shared" ca="1" si="71"/>
        <v/>
      </c>
      <c r="AF284" s="1">
        <f t="shared" ca="1" si="75"/>
        <v>2</v>
      </c>
      <c r="AG284" s="1">
        <f t="shared" ca="1" si="75"/>
        <v>8</v>
      </c>
      <c r="AH284" s="1"/>
      <c r="AI284" s="1">
        <f t="shared" ca="1" si="73"/>
        <v>0.25</v>
      </c>
      <c r="AJ284" s="1">
        <f t="shared" ca="1" si="74"/>
        <v>4</v>
      </c>
      <c r="AO284" s="1">
        <f t="shared" ca="1" si="76"/>
        <v>80</v>
      </c>
      <c r="AP284" s="1">
        <f t="shared" ca="1" si="77"/>
        <v>-208</v>
      </c>
      <c r="AS284" s="1">
        <f t="shared" ca="1" si="78"/>
        <v>76</v>
      </c>
      <c r="AV284" s="1">
        <f t="shared" ca="1" si="79"/>
        <v>-265</v>
      </c>
      <c r="AW284" s="1">
        <f t="shared" ca="1" si="80"/>
        <v>10</v>
      </c>
    </row>
    <row r="285" spans="4:51" x14ac:dyDescent="0.3">
      <c r="D285" t="str">
        <f t="shared" ca="1" si="72"/>
        <v/>
      </c>
      <c r="E285" t="str" cm="1">
        <f t="array" aca="1" ref="E285" ca="1">_xlfn.IFS(D285="","",D285="Starstone", VLOOKUP($BK$4,$BK$6:$BM$11,3)*AI288*AJ288, D285 = "Tristal", VLOOKUP($BK$14,$BK$16:$BM$24,3)*AI288*AJ288, 1=1, VLOOKUP(AO288,$AX$75:$AZ$174,3)*AI288*AJ288)</f>
        <v/>
      </c>
      <c r="F285" t="str" cm="1">
        <f t="array" aca="1" ref="F285" ca="1">IF(D285="","",_xlfn.IFS(AH288&gt;5,"Normal",AND(AH288&lt;=5,$BK$28&lt;=4),VLOOKUP(AF288,$BK$29:$BN$39,2),AND(AH288&lt;=5,$BK$28&gt;=9),VLOOKUP(AF288,$BK$29:$BN$39,2), 1=1, "Normal"))</f>
        <v/>
      </c>
      <c r="G285" t="str" cm="1">
        <f t="array" aca="1" ref="G285" ca="1">IF(D285="","",_xlfn.IFS(AH288&gt;5, "Normal", AND(AH288&lt;=5, $BL$28&lt;=8, $BL$28&gt;=5), VLOOKUP(AG288,$BK$29:$BN$39,3), AND(AH288&lt;=5,$BK$28&gt;=9), VLOOKUP(AG288,$BK$29:$BN$39,3), 1=1, "Normal"))</f>
        <v/>
      </c>
      <c r="H285" t="str">
        <f t="shared" ca="1" si="69"/>
        <v/>
      </c>
      <c r="I285" t="str">
        <f t="shared" ca="1" si="70"/>
        <v/>
      </c>
      <c r="K285" t="str" cm="1">
        <f t="array" aca="1" ref="K285" ca="1">IF(L285="","",(_xlfn.IFS(L285&gt;=15000,VLOOKUP(AW288,$BE$5:$BH$15,4),L285&gt;=4000,VLOOKUP(AW288,$BE$5:$BH$15,3),L285&gt;=100,VLOOKUP(AW288,$BE$5:$BH$15,2))))</f>
        <v/>
      </c>
      <c r="L285" t="str">
        <f t="shared" ca="1" si="71"/>
        <v/>
      </c>
      <c r="AF285" s="1">
        <f t="shared" ca="1" si="75"/>
        <v>1</v>
      </c>
      <c r="AG285" s="1">
        <f t="shared" ca="1" si="75"/>
        <v>8</v>
      </c>
      <c r="AH285" s="1"/>
      <c r="AI285" s="1">
        <f t="shared" ca="1" si="73"/>
        <v>0.125</v>
      </c>
      <c r="AJ285" s="1">
        <f t="shared" ca="1" si="74"/>
        <v>4</v>
      </c>
      <c r="AO285" s="1">
        <f t="shared" ca="1" si="76"/>
        <v>83</v>
      </c>
      <c r="AP285" s="1">
        <f t="shared" ca="1" si="77"/>
        <v>-209</v>
      </c>
      <c r="AS285" s="1">
        <f t="shared" ca="1" si="78"/>
        <v>40</v>
      </c>
      <c r="AV285" s="1">
        <f t="shared" ca="1" si="79"/>
        <v>-266</v>
      </c>
      <c r="AW285" s="1">
        <f t="shared" ca="1" si="80"/>
        <v>4</v>
      </c>
    </row>
    <row r="286" spans="4:51" x14ac:dyDescent="0.3">
      <c r="D286" t="str">
        <f t="shared" ca="1" si="72"/>
        <v/>
      </c>
      <c r="E286" t="str" cm="1">
        <f t="array" aca="1" ref="E286" ca="1">_xlfn.IFS(D286="","",D286="Starstone", VLOOKUP($BK$4,$BK$6:$BM$11,3)*AI289*AJ289, D286 = "Tristal", VLOOKUP($BK$14,$BK$16:$BM$24,3)*AI289*AJ289, 1=1, VLOOKUP(AO289,$AX$75:$AZ$174,3)*AI289*AJ289)</f>
        <v/>
      </c>
      <c r="F286" t="str" cm="1">
        <f t="array" aca="1" ref="F286" ca="1">IF(D286="","",_xlfn.IFS(AH289&gt;5,"Normal",AND(AH289&lt;=5,$BK$28&lt;=4),VLOOKUP(AF289,$BK$29:$BN$39,2),AND(AH289&lt;=5,$BK$28&gt;=9),VLOOKUP(AF289,$BK$29:$BN$39,2), 1=1, "Normal"))</f>
        <v/>
      </c>
      <c r="G286" t="str" cm="1">
        <f t="array" aca="1" ref="G286" ca="1">IF(D286="","",_xlfn.IFS(AH289&gt;5, "Normal", AND(AH289&lt;=5, $BL$28&lt;=8, $BL$28&gt;=5), VLOOKUP(AG289,$BK$29:$BN$39,3), AND(AH289&lt;=5,$BK$28&gt;=9), VLOOKUP(AG289,$BK$29:$BN$39,3), 1=1, "Normal"))</f>
        <v/>
      </c>
      <c r="H286" t="str">
        <f t="shared" ca="1" si="69"/>
        <v/>
      </c>
      <c r="I286" t="str">
        <f t="shared" ca="1" si="70"/>
        <v/>
      </c>
      <c r="K286" t="str" cm="1">
        <f t="array" aca="1" ref="K286" ca="1">IF(L286="","",(_xlfn.IFS(L286&gt;=15000,VLOOKUP(AW289,$BE$5:$BH$15,4),L286&gt;=4000,VLOOKUP(AW289,$BE$5:$BH$15,3),L286&gt;=100,VLOOKUP(AW289,$BE$5:$BH$15,2))))</f>
        <v/>
      </c>
      <c r="L286" t="str">
        <f t="shared" ca="1" si="71"/>
        <v/>
      </c>
      <c r="AF286" s="1">
        <f t="shared" ca="1" si="75"/>
        <v>1</v>
      </c>
      <c r="AG286" s="1">
        <f t="shared" ca="1" si="75"/>
        <v>3</v>
      </c>
      <c r="AH286" s="1"/>
      <c r="AI286" s="1">
        <f t="shared" ca="1" si="73"/>
        <v>0.125</v>
      </c>
      <c r="AJ286" s="1">
        <f t="shared" ca="1" si="74"/>
        <v>0.25</v>
      </c>
      <c r="AO286" s="1">
        <f t="shared" ca="1" si="76"/>
        <v>80</v>
      </c>
      <c r="AP286" s="1">
        <f t="shared" ca="1" si="77"/>
        <v>-210</v>
      </c>
      <c r="AS286" s="1">
        <f t="shared" ca="1" si="78"/>
        <v>72</v>
      </c>
      <c r="AV286" s="1">
        <f t="shared" ca="1" si="79"/>
        <v>-267</v>
      </c>
      <c r="AW286" s="1">
        <f t="shared" ca="1" si="80"/>
        <v>2</v>
      </c>
    </row>
    <row r="287" spans="4:51" x14ac:dyDescent="0.3">
      <c r="D287" t="str">
        <f t="shared" ca="1" si="72"/>
        <v/>
      </c>
      <c r="E287" t="str" cm="1">
        <f t="array" aca="1" ref="E287" ca="1">_xlfn.IFS(D287="","",D287="Starstone", VLOOKUP($BK$4,$BK$6:$BM$11,3)*AI290*AJ290, D287 = "Tristal", VLOOKUP($BK$14,$BK$16:$BM$24,3)*AI290*AJ290, 1=1, VLOOKUP(AO290,$AX$75:$AZ$174,3)*AI290*AJ290)</f>
        <v/>
      </c>
      <c r="F287" t="str" cm="1">
        <f t="array" aca="1" ref="F287" ca="1">IF(D287="","",_xlfn.IFS(AH290&gt;5,"Normal",AND(AH290&lt;=5,$BK$28&lt;=4),VLOOKUP(AF290,$BK$29:$BN$39,2),AND(AH290&lt;=5,$BK$28&gt;=9),VLOOKUP(AF290,$BK$29:$BN$39,2), 1=1, "Normal"))</f>
        <v/>
      </c>
      <c r="G287" t="str" cm="1">
        <f t="array" aca="1" ref="G287" ca="1">IF(D287="","",_xlfn.IFS(AH290&gt;5, "Normal", AND(AH290&lt;=5, $BL$28&lt;=8, $BL$28&gt;=5), VLOOKUP(AG290,$BK$29:$BN$39,3), AND(AH290&lt;=5,$BK$28&gt;=9), VLOOKUP(AG290,$BK$29:$BN$39,3), 1=1, "Normal"))</f>
        <v/>
      </c>
      <c r="H287" t="str">
        <f t="shared" ca="1" si="69"/>
        <v/>
      </c>
      <c r="I287" t="str">
        <f t="shared" ca="1" si="70"/>
        <v/>
      </c>
      <c r="K287" t="str" cm="1">
        <f t="array" aca="1" ref="K287" ca="1">IF(L287="","",(_xlfn.IFS(L287&gt;=15000,VLOOKUP(AW290,$BE$5:$BH$15,4),L287&gt;=4000,VLOOKUP(AW290,$BE$5:$BH$15,3),L287&gt;=100,VLOOKUP(AW290,$BE$5:$BH$15,2))))</f>
        <v/>
      </c>
      <c r="L287" t="str">
        <f t="shared" ca="1" si="71"/>
        <v/>
      </c>
      <c r="AF287" s="1">
        <f t="shared" ca="1" si="75"/>
        <v>1</v>
      </c>
      <c r="AG287" s="1">
        <f t="shared" ca="1" si="75"/>
        <v>9</v>
      </c>
      <c r="AH287" s="1"/>
      <c r="AI287" s="1">
        <f t="shared" ca="1" si="73"/>
        <v>0.125</v>
      </c>
      <c r="AJ287" s="1">
        <f t="shared" ca="1" si="74"/>
        <v>4</v>
      </c>
      <c r="AO287" s="1">
        <f t="shared" ca="1" si="76"/>
        <v>59</v>
      </c>
      <c r="AP287" s="1">
        <f t="shared" ca="1" si="77"/>
        <v>-211</v>
      </c>
      <c r="AS287" s="1">
        <f t="shared" ca="1" si="78"/>
        <v>43</v>
      </c>
      <c r="AV287" s="1">
        <f t="shared" ca="1" si="79"/>
        <v>-268</v>
      </c>
      <c r="AW287" s="1">
        <f t="shared" ca="1" si="80"/>
        <v>9</v>
      </c>
    </row>
    <row r="288" spans="4:51" x14ac:dyDescent="0.3">
      <c r="D288" t="str">
        <f t="shared" ca="1" si="72"/>
        <v/>
      </c>
      <c r="E288" t="str" cm="1">
        <f t="array" aca="1" ref="E288" ca="1">_xlfn.IFS(D288="","",D288="Starstone", VLOOKUP($BK$4,$BK$6:$BM$11,3)*AI291*AJ291, D288 = "Tristal", VLOOKUP($BK$14,$BK$16:$BM$24,3)*AI291*AJ291, 1=1, VLOOKUP(AO291,$AX$75:$AZ$174,3)*AI291*AJ291)</f>
        <v/>
      </c>
      <c r="F288" t="str" cm="1">
        <f t="array" aca="1" ref="F288" ca="1">IF(D288="","",_xlfn.IFS(AH291&gt;5,"Normal",AND(AH291&lt;=5,$BK$28&lt;=4),VLOOKUP(AF291,$BK$29:$BN$39,2),AND(AH291&lt;=5,$BK$28&gt;=9),VLOOKUP(AF291,$BK$29:$BN$39,2), 1=1, "Normal"))</f>
        <v/>
      </c>
      <c r="G288" t="str" cm="1">
        <f t="array" aca="1" ref="G288" ca="1">IF(D288="","",_xlfn.IFS(AH291&gt;5, "Normal", AND(AH291&lt;=5, $BL$28&lt;=8, $BL$28&gt;=5), VLOOKUP(AG291,$BK$29:$BN$39,3), AND(AH291&lt;=5,$BK$28&gt;=9), VLOOKUP(AG291,$BK$29:$BN$39,3), 1=1, "Normal"))</f>
        <v/>
      </c>
      <c r="H288" t="str">
        <f t="shared" ca="1" si="69"/>
        <v/>
      </c>
      <c r="I288" t="str">
        <f t="shared" ca="1" si="70"/>
        <v/>
      </c>
      <c r="K288" t="str" cm="1">
        <f t="array" aca="1" ref="K288" ca="1">IF(L288="","",(_xlfn.IFS(L288&gt;=15000,VLOOKUP(AW291,$BE$5:$BH$15,4),L288&gt;=4000,VLOOKUP(AW291,$BE$5:$BH$15,3),L288&gt;=100,VLOOKUP(AW291,$BE$5:$BH$15,2))))</f>
        <v/>
      </c>
      <c r="L288" t="str">
        <f t="shared" ca="1" si="71"/>
        <v/>
      </c>
      <c r="AF288" s="1">
        <f t="shared" ca="1" si="75"/>
        <v>5</v>
      </c>
      <c r="AG288" s="1">
        <f t="shared" ca="1" si="75"/>
        <v>8</v>
      </c>
      <c r="AH288" s="1"/>
      <c r="AI288" s="1">
        <f t="shared" ca="1" si="73"/>
        <v>0.5</v>
      </c>
      <c r="AJ288" s="1">
        <f t="shared" ca="1" si="74"/>
        <v>4</v>
      </c>
      <c r="AO288" s="1">
        <f t="shared" ca="1" si="76"/>
        <v>52</v>
      </c>
      <c r="AP288" s="1">
        <f t="shared" ca="1" si="77"/>
        <v>-212</v>
      </c>
      <c r="AS288" s="1">
        <f t="shared" ca="1" si="78"/>
        <v>95</v>
      </c>
      <c r="AV288" s="1">
        <f t="shared" ca="1" si="79"/>
        <v>-269</v>
      </c>
      <c r="AW288" s="1">
        <f t="shared" ca="1" si="80"/>
        <v>10</v>
      </c>
    </row>
    <row r="289" spans="4:49" x14ac:dyDescent="0.3">
      <c r="D289" t="str">
        <f t="shared" ca="1" si="72"/>
        <v/>
      </c>
      <c r="E289" t="str" cm="1">
        <f t="array" aca="1" ref="E289" ca="1">_xlfn.IFS(D289="","",D289="Starstone", VLOOKUP($BK$4,$BK$6:$BM$11,3)*AI292*AJ292, D289 = "Tristal", VLOOKUP($BK$14,$BK$16:$BM$24,3)*AI292*AJ292, 1=1, VLOOKUP(AO292,$AX$75:$AZ$174,3)*AI292*AJ292)</f>
        <v/>
      </c>
      <c r="F289" t="str" cm="1">
        <f t="array" aca="1" ref="F289" ca="1">IF(D289="","",_xlfn.IFS(AH292&gt;5,"Normal",AND(AH292&lt;=5,$BK$28&lt;=4),VLOOKUP(AF292,$BK$29:$BN$39,2),AND(AH292&lt;=5,$BK$28&gt;=9),VLOOKUP(AF292,$BK$29:$BN$39,2), 1=1, "Normal"))</f>
        <v/>
      </c>
      <c r="G289" t="str" cm="1">
        <f t="array" aca="1" ref="G289" ca="1">IF(D289="","",_xlfn.IFS(AH292&gt;5, "Normal", AND(AH292&lt;=5, $BL$28&lt;=8, $BL$28&gt;=5), VLOOKUP(AG292,$BK$29:$BN$39,3), AND(AH292&lt;=5,$BK$28&gt;=9), VLOOKUP(AG292,$BK$29:$BN$39,3), 1=1, "Normal"))</f>
        <v/>
      </c>
      <c r="H289" t="str">
        <f t="shared" ca="1" si="69"/>
        <v/>
      </c>
      <c r="I289" t="str">
        <f t="shared" ca="1" si="70"/>
        <v/>
      </c>
      <c r="K289" t="str" cm="1">
        <f t="array" aca="1" ref="K289" ca="1">IF(L289="","",(_xlfn.IFS(L289&gt;=15000,VLOOKUP(AW292,$BE$5:$BH$15,4),L289&gt;=4000,VLOOKUP(AW292,$BE$5:$BH$15,3),L289&gt;=100,VLOOKUP(AW292,$BE$5:$BH$15,2))))</f>
        <v/>
      </c>
      <c r="L289" t="str">
        <f t="shared" ca="1" si="71"/>
        <v/>
      </c>
      <c r="AF289" s="1">
        <f t="shared" ca="1" si="75"/>
        <v>8</v>
      </c>
      <c r="AG289" s="1">
        <f t="shared" ca="1" si="75"/>
        <v>3</v>
      </c>
      <c r="AH289" s="1"/>
      <c r="AI289" s="1">
        <f t="shared" ca="1" si="73"/>
        <v>4</v>
      </c>
      <c r="AJ289" s="1">
        <f t="shared" ca="1" si="74"/>
        <v>0.25</v>
      </c>
      <c r="AO289" s="1">
        <f t="shared" ca="1" si="76"/>
        <v>23</v>
      </c>
      <c r="AP289" s="1">
        <f t="shared" ca="1" si="77"/>
        <v>-213</v>
      </c>
      <c r="AS289" s="1">
        <f t="shared" ca="1" si="78"/>
        <v>63</v>
      </c>
      <c r="AV289" s="1">
        <f t="shared" ca="1" si="79"/>
        <v>-270</v>
      </c>
      <c r="AW289" s="1">
        <f t="shared" ca="1" si="80"/>
        <v>8</v>
      </c>
    </row>
    <row r="290" spans="4:49" x14ac:dyDescent="0.3">
      <c r="D290" t="str">
        <f t="shared" ca="1" si="72"/>
        <v/>
      </c>
      <c r="E290" t="str" cm="1">
        <f t="array" aca="1" ref="E290" ca="1">_xlfn.IFS(D290="","",D290="Starstone", VLOOKUP($BK$4,$BK$6:$BM$11,3)*AI293*AJ293, D290 = "Tristal", VLOOKUP($BK$14,$BK$16:$BM$24,3)*AI293*AJ293, 1=1, VLOOKUP(AO293,$AX$75:$AZ$174,3)*AI293*AJ293)</f>
        <v/>
      </c>
      <c r="F290" t="str" cm="1">
        <f t="array" aca="1" ref="F290" ca="1">IF(D290="","",_xlfn.IFS(AH293&gt;5,"Normal",AND(AH293&lt;=5,$BK$28&lt;=4),VLOOKUP(AF293,$BK$29:$BN$39,2),AND(AH293&lt;=5,$BK$28&gt;=9),VLOOKUP(AF293,$BK$29:$BN$39,2), 1=1, "Normal"))</f>
        <v/>
      </c>
      <c r="G290" t="str" cm="1">
        <f t="array" aca="1" ref="G290" ca="1">IF(D290="","",_xlfn.IFS(AH293&gt;5, "Normal", AND(AH293&lt;=5, $BL$28&lt;=8, $BL$28&gt;=5), VLOOKUP(AG293,$BK$29:$BN$39,3), AND(AH293&lt;=5,$BK$28&gt;=9), VLOOKUP(AG293,$BK$29:$BN$39,3), 1=1, "Normal"))</f>
        <v/>
      </c>
      <c r="H290" t="str">
        <f t="shared" ca="1" si="69"/>
        <v/>
      </c>
      <c r="I290" t="str">
        <f t="shared" ca="1" si="70"/>
        <v/>
      </c>
      <c r="K290" t="str" cm="1">
        <f t="array" aca="1" ref="K290" ca="1">IF(L290="","",(_xlfn.IFS(L290&gt;=15000,VLOOKUP(AW293,$BE$5:$BH$15,4),L290&gt;=4000,VLOOKUP(AW293,$BE$5:$BH$15,3),L290&gt;=100,VLOOKUP(AW293,$BE$5:$BH$15,2))))</f>
        <v/>
      </c>
      <c r="L290" t="str">
        <f t="shared" ca="1" si="71"/>
        <v/>
      </c>
      <c r="AF290" s="1">
        <f t="shared" ca="1" si="75"/>
        <v>8</v>
      </c>
      <c r="AG290" s="1">
        <f t="shared" ca="1" si="75"/>
        <v>5</v>
      </c>
      <c r="AH290" s="1"/>
      <c r="AI290" s="1">
        <f t="shared" ca="1" si="73"/>
        <v>4</v>
      </c>
      <c r="AJ290" s="1">
        <f t="shared" ca="1" si="74"/>
        <v>0.5</v>
      </c>
      <c r="AO290" s="1">
        <f t="shared" ca="1" si="76"/>
        <v>93</v>
      </c>
      <c r="AP290" s="1">
        <f t="shared" ca="1" si="77"/>
        <v>-214</v>
      </c>
      <c r="AS290" s="1">
        <f t="shared" ca="1" si="78"/>
        <v>56</v>
      </c>
      <c r="AV290" s="1">
        <f t="shared" ca="1" si="79"/>
        <v>-271</v>
      </c>
      <c r="AW290" s="1">
        <f t="shared" ca="1" si="80"/>
        <v>1</v>
      </c>
    </row>
    <row r="291" spans="4:49" x14ac:dyDescent="0.3">
      <c r="D291" t="str">
        <f t="shared" ca="1" si="72"/>
        <v/>
      </c>
      <c r="E291" t="str" cm="1">
        <f t="array" aca="1" ref="E291" ca="1">_xlfn.IFS(D291="","",D291="Starstone", VLOOKUP($BK$4,$BK$6:$BM$11,3)*AI294*AJ294, D291 = "Tristal", VLOOKUP($BK$14,$BK$16:$BM$24,3)*AI294*AJ294, 1=1, VLOOKUP(AO294,$AX$75:$AZ$174,3)*AI294*AJ294)</f>
        <v/>
      </c>
      <c r="F291" t="str" cm="1">
        <f t="array" aca="1" ref="F291" ca="1">IF(D291="","",_xlfn.IFS(AH294&gt;5,"Normal",AND(AH294&lt;=5,$BK$28&lt;=4),VLOOKUP(AF294,$BK$29:$BN$39,2),AND(AH294&lt;=5,$BK$28&gt;=9),VLOOKUP(AF294,$BK$29:$BN$39,2), 1=1, "Normal"))</f>
        <v/>
      </c>
      <c r="G291" t="str" cm="1">
        <f t="array" aca="1" ref="G291" ca="1">IF(D291="","",_xlfn.IFS(AH294&gt;5, "Normal", AND(AH294&lt;=5, $BL$28&lt;=8, $BL$28&gt;=5), VLOOKUP(AG294,$BK$29:$BN$39,3), AND(AH294&lt;=5,$BK$28&gt;=9), VLOOKUP(AG294,$BK$29:$BN$39,3), 1=1, "Normal"))</f>
        <v/>
      </c>
      <c r="H291" t="str">
        <f t="shared" ca="1" si="69"/>
        <v/>
      </c>
      <c r="I291" t="str">
        <f t="shared" ca="1" si="70"/>
        <v/>
      </c>
      <c r="K291" t="str" cm="1">
        <f t="array" aca="1" ref="K291" ca="1">IF(L291="","",(_xlfn.IFS(L291&gt;=15000,VLOOKUP(AW294,$BE$5:$BH$15,4),L291&gt;=4000,VLOOKUP(AW294,$BE$5:$BH$15,3),L291&gt;=100,VLOOKUP(AW294,$BE$5:$BH$15,2))))</f>
        <v/>
      </c>
      <c r="L291" t="str">
        <f t="shared" ca="1" si="71"/>
        <v/>
      </c>
      <c r="AF291" s="1">
        <f t="shared" ca="1" si="75"/>
        <v>4</v>
      </c>
      <c r="AG291" s="1">
        <f t="shared" ca="1" si="75"/>
        <v>4</v>
      </c>
      <c r="AH291" s="1"/>
      <c r="AI291" s="1">
        <f t="shared" ca="1" si="73"/>
        <v>0.5</v>
      </c>
      <c r="AJ291" s="1">
        <f t="shared" ca="1" si="74"/>
        <v>0.5</v>
      </c>
      <c r="AO291" s="1">
        <f t="shared" ca="1" si="76"/>
        <v>55</v>
      </c>
      <c r="AP291" s="1">
        <f t="shared" ca="1" si="77"/>
        <v>-215</v>
      </c>
      <c r="AS291" s="1">
        <f t="shared" ca="1" si="78"/>
        <v>87</v>
      </c>
      <c r="AV291" s="1">
        <f t="shared" ca="1" si="79"/>
        <v>-272</v>
      </c>
      <c r="AW291" s="1">
        <f t="shared" ca="1" si="80"/>
        <v>10</v>
      </c>
    </row>
    <row r="292" spans="4:49" x14ac:dyDescent="0.3">
      <c r="D292" t="str">
        <f t="shared" ca="1" si="72"/>
        <v/>
      </c>
      <c r="E292" t="str" cm="1">
        <f t="array" aca="1" ref="E292" ca="1">_xlfn.IFS(D292="","",D292="Starstone", VLOOKUP($BK$4,$BK$6:$BM$11,3)*AI295*AJ295, D292 = "Tristal", VLOOKUP($BK$14,$BK$16:$BM$24,3)*AI295*AJ295, 1=1, VLOOKUP(AO295,$AX$75:$AZ$174,3)*AI295*AJ295)</f>
        <v/>
      </c>
      <c r="F292" t="str" cm="1">
        <f t="array" aca="1" ref="F292" ca="1">IF(D292="","",_xlfn.IFS(AH295&gt;5,"Normal",AND(AH295&lt;=5,$BK$28&lt;=4),VLOOKUP(AF295,$BK$29:$BN$39,2),AND(AH295&lt;=5,$BK$28&gt;=9),VLOOKUP(AF295,$BK$29:$BN$39,2), 1=1, "Normal"))</f>
        <v/>
      </c>
      <c r="G292" t="str" cm="1">
        <f t="array" aca="1" ref="G292" ca="1">IF(D292="","",_xlfn.IFS(AH295&gt;5, "Normal", AND(AH295&lt;=5, $BL$28&lt;=8, $BL$28&gt;=5), VLOOKUP(AG295,$BK$29:$BN$39,3), AND(AH295&lt;=5,$BK$28&gt;=9), VLOOKUP(AG295,$BK$29:$BN$39,3), 1=1, "Normal"))</f>
        <v/>
      </c>
      <c r="H292" t="str">
        <f t="shared" ca="1" si="69"/>
        <v/>
      </c>
      <c r="I292" t="str">
        <f t="shared" ca="1" si="70"/>
        <v/>
      </c>
      <c r="K292" t="str" cm="1">
        <f t="array" aca="1" ref="K292" ca="1">IF(L292="","",(_xlfn.IFS(L292&gt;=15000,VLOOKUP(AW295,$BE$5:$BH$15,4),L292&gt;=4000,VLOOKUP(AW295,$BE$5:$BH$15,3),L292&gt;=100,VLOOKUP(AW295,$BE$5:$BH$15,2))))</f>
        <v/>
      </c>
      <c r="L292" t="str">
        <f t="shared" ca="1" si="71"/>
        <v/>
      </c>
      <c r="AF292" s="1">
        <f t="shared" ca="1" si="75"/>
        <v>1</v>
      </c>
      <c r="AG292" s="1">
        <f t="shared" ca="1" si="75"/>
        <v>10</v>
      </c>
      <c r="AH292" s="1"/>
      <c r="AI292" s="1">
        <f t="shared" ca="1" si="73"/>
        <v>0.125</v>
      </c>
      <c r="AJ292" s="1">
        <f t="shared" ca="1" si="74"/>
        <v>8</v>
      </c>
      <c r="AO292" s="1">
        <f t="shared" ca="1" si="76"/>
        <v>65</v>
      </c>
      <c r="AP292" s="1">
        <f t="shared" ca="1" si="77"/>
        <v>-216</v>
      </c>
      <c r="AS292" s="1">
        <f t="shared" ca="1" si="78"/>
        <v>25</v>
      </c>
      <c r="AV292" s="1">
        <f t="shared" ca="1" si="79"/>
        <v>-273</v>
      </c>
      <c r="AW292" s="1">
        <f t="shared" ca="1" si="80"/>
        <v>9</v>
      </c>
    </row>
    <row r="293" spans="4:49" x14ac:dyDescent="0.3">
      <c r="D293" t="str">
        <f t="shared" ca="1" si="72"/>
        <v/>
      </c>
      <c r="E293" t="str" cm="1">
        <f t="array" aca="1" ref="E293" ca="1">_xlfn.IFS(D293="","",D293="Starstone", VLOOKUP($BK$4,$BK$6:$BM$11,3)*AI296*AJ296, D293 = "Tristal", VLOOKUP($BK$14,$BK$16:$BM$24,3)*AI296*AJ296, 1=1, VLOOKUP(AO296,$AX$75:$AZ$174,3)*AI296*AJ296)</f>
        <v/>
      </c>
      <c r="F293" t="str" cm="1">
        <f t="array" aca="1" ref="F293" ca="1">IF(D293="","",_xlfn.IFS(AH296&gt;5,"Normal",AND(AH296&lt;=5,$BK$28&lt;=4),VLOOKUP(AF296,$BK$29:$BN$39,2),AND(AH296&lt;=5,$BK$28&gt;=9),VLOOKUP(AF296,$BK$29:$BN$39,2), 1=1, "Normal"))</f>
        <v/>
      </c>
      <c r="G293" t="str" cm="1">
        <f t="array" aca="1" ref="G293" ca="1">IF(D293="","",_xlfn.IFS(AH296&gt;5, "Normal", AND(AH296&lt;=5, $BL$28&lt;=8, $BL$28&gt;=5), VLOOKUP(AG296,$BK$29:$BN$39,3), AND(AH296&lt;=5,$BK$28&gt;=9), VLOOKUP(AG296,$BK$29:$BN$39,3), 1=1, "Normal"))</f>
        <v/>
      </c>
      <c r="H293" t="str">
        <f t="shared" ca="1" si="69"/>
        <v/>
      </c>
      <c r="I293" t="str">
        <f t="shared" ca="1" si="70"/>
        <v/>
      </c>
      <c r="K293" t="str" cm="1">
        <f t="array" aca="1" ref="K293" ca="1">IF(L293="","",(_xlfn.IFS(L293&gt;=15000,VLOOKUP(AW296,$BE$5:$BH$15,4),L293&gt;=4000,VLOOKUP(AW296,$BE$5:$BH$15,3),L293&gt;=100,VLOOKUP(AW296,$BE$5:$BH$15,2))))</f>
        <v/>
      </c>
      <c r="L293" t="str">
        <f t="shared" ca="1" si="71"/>
        <v/>
      </c>
      <c r="AF293" s="1">
        <f t="shared" ca="1" si="75"/>
        <v>7</v>
      </c>
      <c r="AG293" s="1">
        <f t="shared" ca="1" si="75"/>
        <v>7</v>
      </c>
      <c r="AH293" s="1"/>
      <c r="AI293" s="1">
        <f t="shared" ca="1" si="73"/>
        <v>2</v>
      </c>
      <c r="AJ293" s="1">
        <f t="shared" ca="1" si="74"/>
        <v>2</v>
      </c>
      <c r="AO293" s="1">
        <f t="shared" ca="1" si="76"/>
        <v>26</v>
      </c>
      <c r="AP293" s="1">
        <f t="shared" ca="1" si="77"/>
        <v>-217</v>
      </c>
      <c r="AS293" s="1">
        <f t="shared" ca="1" si="78"/>
        <v>64</v>
      </c>
      <c r="AV293" s="1">
        <f t="shared" ca="1" si="79"/>
        <v>-274</v>
      </c>
      <c r="AW293" s="1">
        <f t="shared" ca="1" si="80"/>
        <v>6</v>
      </c>
    </row>
    <row r="294" spans="4:49" x14ac:dyDescent="0.3">
      <c r="D294" t="str">
        <f t="shared" ca="1" si="72"/>
        <v/>
      </c>
      <c r="E294" t="str" cm="1">
        <f t="array" aca="1" ref="E294" ca="1">_xlfn.IFS(D294="","",D294="Starstone", VLOOKUP($BK$4,$BK$6:$BM$11,3)*AI297*AJ297, D294 = "Tristal", VLOOKUP($BK$14,$BK$16:$BM$24,3)*AI297*AJ297, 1=1, VLOOKUP(AO297,$AX$75:$AZ$174,3)*AI297*AJ297)</f>
        <v/>
      </c>
      <c r="F294" t="str" cm="1">
        <f t="array" aca="1" ref="F294" ca="1">IF(D294="","",_xlfn.IFS(AH297&gt;5,"Normal",AND(AH297&lt;=5,$BK$28&lt;=4),VLOOKUP(AF297,$BK$29:$BN$39,2),AND(AH297&lt;=5,$BK$28&gt;=9),VLOOKUP(AF297,$BK$29:$BN$39,2), 1=1, "Normal"))</f>
        <v/>
      </c>
      <c r="G294" t="str" cm="1">
        <f t="array" aca="1" ref="G294" ca="1">IF(D294="","",_xlfn.IFS(AH297&gt;5, "Normal", AND(AH297&lt;=5, $BL$28&lt;=8, $BL$28&gt;=5), VLOOKUP(AG297,$BK$29:$BN$39,3), AND(AH297&lt;=5,$BK$28&gt;=9), VLOOKUP(AG297,$BK$29:$BN$39,3), 1=1, "Normal"))</f>
        <v/>
      </c>
      <c r="H294" t="str">
        <f t="shared" ca="1" si="69"/>
        <v/>
      </c>
      <c r="I294" t="str">
        <f t="shared" ca="1" si="70"/>
        <v/>
      </c>
      <c r="K294" t="str" cm="1">
        <f t="array" aca="1" ref="K294" ca="1">IF(L294="","",(_xlfn.IFS(L294&gt;=15000,VLOOKUP(AW297,$BE$5:$BH$15,4),L294&gt;=4000,VLOOKUP(AW297,$BE$5:$BH$15,3),L294&gt;=100,VLOOKUP(AW297,$BE$5:$BH$15,2))))</f>
        <v/>
      </c>
      <c r="L294" t="str">
        <f t="shared" ca="1" si="71"/>
        <v/>
      </c>
      <c r="AF294" s="1">
        <f t="shared" ca="1" si="75"/>
        <v>10</v>
      </c>
      <c r="AG294" s="1">
        <f t="shared" ca="1" si="75"/>
        <v>2</v>
      </c>
      <c r="AH294" s="1"/>
      <c r="AI294" s="1">
        <f t="shared" ca="1" si="73"/>
        <v>8</v>
      </c>
      <c r="AJ294" s="1">
        <f t="shared" ca="1" si="74"/>
        <v>0.25</v>
      </c>
      <c r="AO294" s="1">
        <f t="shared" ca="1" si="76"/>
        <v>47</v>
      </c>
      <c r="AP294" s="1">
        <f t="shared" ca="1" si="77"/>
        <v>-218</v>
      </c>
      <c r="AS294" s="1">
        <f t="shared" ca="1" si="78"/>
        <v>22</v>
      </c>
      <c r="AV294" s="1">
        <f t="shared" ca="1" si="79"/>
        <v>-275</v>
      </c>
      <c r="AW294" s="1">
        <f t="shared" ca="1" si="80"/>
        <v>2</v>
      </c>
    </row>
    <row r="295" spans="4:49" x14ac:dyDescent="0.3">
      <c r="D295" t="str">
        <f t="shared" ca="1" si="72"/>
        <v/>
      </c>
      <c r="E295" t="str" cm="1">
        <f t="array" aca="1" ref="E295" ca="1">_xlfn.IFS(D295="","",D295="Starstone", VLOOKUP($BK$4,$BK$6:$BM$11,3)*AI298*AJ298, D295 = "Tristal", VLOOKUP($BK$14,$BK$16:$BM$24,3)*AI298*AJ298, 1=1, VLOOKUP(AO298,$AX$75:$AZ$174,3)*AI298*AJ298)</f>
        <v/>
      </c>
      <c r="F295" t="str" cm="1">
        <f t="array" aca="1" ref="F295" ca="1">IF(D295="","",_xlfn.IFS(AH298&gt;5,"Normal",AND(AH298&lt;=5,$BK$28&lt;=4),VLOOKUP(AF298,$BK$29:$BN$39,2),AND(AH298&lt;=5,$BK$28&gt;=9),VLOOKUP(AF298,$BK$29:$BN$39,2), 1=1, "Normal"))</f>
        <v/>
      </c>
      <c r="G295" t="str" cm="1">
        <f t="array" aca="1" ref="G295" ca="1">IF(D295="","",_xlfn.IFS(AH298&gt;5, "Normal", AND(AH298&lt;=5, $BL$28&lt;=8, $BL$28&gt;=5), VLOOKUP(AG298,$BK$29:$BN$39,3), AND(AH298&lt;=5,$BK$28&gt;=9), VLOOKUP(AG298,$BK$29:$BN$39,3), 1=1, "Normal"))</f>
        <v/>
      </c>
      <c r="H295" t="str">
        <f t="shared" ca="1" si="69"/>
        <v/>
      </c>
      <c r="I295" t="str">
        <f t="shared" ca="1" si="70"/>
        <v/>
      </c>
      <c r="K295" t="str" cm="1">
        <f t="array" aca="1" ref="K295" ca="1">IF(L295="","",(_xlfn.IFS(L295&gt;=15000,VLOOKUP(AW298,$BE$5:$BH$15,4),L295&gt;=4000,VLOOKUP(AW298,$BE$5:$BH$15,3),L295&gt;=100,VLOOKUP(AW298,$BE$5:$BH$15,2))))</f>
        <v/>
      </c>
      <c r="L295" t="str">
        <f t="shared" ca="1" si="71"/>
        <v/>
      </c>
      <c r="AF295" s="1">
        <f t="shared" ca="1" si="75"/>
        <v>4</v>
      </c>
      <c r="AG295" s="1">
        <f t="shared" ca="1" si="75"/>
        <v>4</v>
      </c>
      <c r="AH295" s="1"/>
      <c r="AI295" s="1">
        <f t="shared" ca="1" si="73"/>
        <v>0.5</v>
      </c>
      <c r="AJ295" s="1">
        <f t="shared" ca="1" si="74"/>
        <v>0.5</v>
      </c>
      <c r="AO295" s="1">
        <f t="shared" ca="1" si="76"/>
        <v>82</v>
      </c>
      <c r="AP295" s="1">
        <f t="shared" ca="1" si="77"/>
        <v>-219</v>
      </c>
      <c r="AS295" s="1">
        <f t="shared" ca="1" si="78"/>
        <v>75</v>
      </c>
      <c r="AV295" s="1">
        <f t="shared" ca="1" si="79"/>
        <v>-276</v>
      </c>
      <c r="AW295" s="1">
        <f t="shared" ca="1" si="80"/>
        <v>3</v>
      </c>
    </row>
    <row r="296" spans="4:49" x14ac:dyDescent="0.3">
      <c r="D296" t="str">
        <f t="shared" ca="1" si="72"/>
        <v/>
      </c>
      <c r="E296" t="str" cm="1">
        <f t="array" aca="1" ref="E296" ca="1">_xlfn.IFS(D296="","",D296="Starstone", VLOOKUP($BK$4,$BK$6:$BM$11,3)*AI299*AJ299, D296 = "Tristal", VLOOKUP($BK$14,$BK$16:$BM$24,3)*AI299*AJ299, 1=1, VLOOKUP(AO299,$AX$75:$AZ$174,3)*AI299*AJ299)</f>
        <v/>
      </c>
      <c r="F296" t="str" cm="1">
        <f t="array" aca="1" ref="F296" ca="1">IF(D296="","",_xlfn.IFS(AH299&gt;5,"Normal",AND(AH299&lt;=5,$BK$28&lt;=4),VLOOKUP(AF299,$BK$29:$BN$39,2),AND(AH299&lt;=5,$BK$28&gt;=9),VLOOKUP(AF299,$BK$29:$BN$39,2), 1=1, "Normal"))</f>
        <v/>
      </c>
      <c r="G296" t="str" cm="1">
        <f t="array" aca="1" ref="G296" ca="1">IF(D296="","",_xlfn.IFS(AH299&gt;5, "Normal", AND(AH299&lt;=5, $BL$28&lt;=8, $BL$28&gt;=5), VLOOKUP(AG299,$BK$29:$BN$39,3), AND(AH299&lt;=5,$BK$28&gt;=9), VLOOKUP(AG299,$BK$29:$BN$39,3), 1=1, "Normal"))</f>
        <v/>
      </c>
      <c r="H296" t="str">
        <f t="shared" ca="1" si="69"/>
        <v/>
      </c>
      <c r="I296" t="str">
        <f t="shared" ca="1" si="70"/>
        <v/>
      </c>
      <c r="K296" t="str" cm="1">
        <f t="array" aca="1" ref="K296" ca="1">IF(L296="","",(_xlfn.IFS(L296&gt;=15000,VLOOKUP(AW299,$BE$5:$BH$15,4),L296&gt;=4000,VLOOKUP(AW299,$BE$5:$BH$15,3),L296&gt;=100,VLOOKUP(AW299,$BE$5:$BH$15,2))))</f>
        <v/>
      </c>
      <c r="L296" t="str">
        <f t="shared" ca="1" si="71"/>
        <v/>
      </c>
      <c r="AF296" s="1">
        <f t="shared" ca="1" si="75"/>
        <v>10</v>
      </c>
      <c r="AG296" s="1">
        <f t="shared" ca="1" si="75"/>
        <v>5</v>
      </c>
      <c r="AH296" s="1"/>
      <c r="AI296" s="1">
        <f t="shared" ca="1" si="73"/>
        <v>8</v>
      </c>
      <c r="AJ296" s="1">
        <f t="shared" ca="1" si="74"/>
        <v>0.5</v>
      </c>
      <c r="AO296" s="1">
        <f t="shared" ca="1" si="76"/>
        <v>35</v>
      </c>
      <c r="AP296" s="1">
        <f t="shared" ca="1" si="77"/>
        <v>-220</v>
      </c>
      <c r="AS296" s="1">
        <f t="shared" ca="1" si="78"/>
        <v>91</v>
      </c>
      <c r="AV296" s="1">
        <f t="shared" ca="1" si="79"/>
        <v>-277</v>
      </c>
      <c r="AW296" s="1">
        <f t="shared" ca="1" si="80"/>
        <v>1</v>
      </c>
    </row>
    <row r="297" spans="4:49" x14ac:dyDescent="0.3">
      <c r="D297" t="str">
        <f t="shared" ca="1" si="72"/>
        <v/>
      </c>
      <c r="E297" t="str" cm="1">
        <f t="array" aca="1" ref="E297" ca="1">_xlfn.IFS(D297="","",D297="Starstone", VLOOKUP($BK$4,$BK$6:$BM$11,3)*AI300*AJ300, D297 = "Tristal", VLOOKUP($BK$14,$BK$16:$BM$24,3)*AI300*AJ300, 1=1, VLOOKUP(AO300,$AX$75:$AZ$174,3)*AI300*AJ300)</f>
        <v/>
      </c>
      <c r="F297" t="str" cm="1">
        <f t="array" aca="1" ref="F297" ca="1">IF(D297="","",_xlfn.IFS(AH300&gt;5,"Normal",AND(AH300&lt;=5,$BK$28&lt;=4),VLOOKUP(AF300,$BK$29:$BN$39,2),AND(AH300&lt;=5,$BK$28&gt;=9),VLOOKUP(AF300,$BK$29:$BN$39,2), 1=1, "Normal"))</f>
        <v/>
      </c>
      <c r="G297" t="str" cm="1">
        <f t="array" aca="1" ref="G297" ca="1">IF(D297="","",_xlfn.IFS(AH300&gt;5, "Normal", AND(AH300&lt;=5, $BL$28&lt;=8, $BL$28&gt;=5), VLOOKUP(AG300,$BK$29:$BN$39,3), AND(AH300&lt;=5,$BK$28&gt;=9), VLOOKUP(AG300,$BK$29:$BN$39,3), 1=1, "Normal"))</f>
        <v/>
      </c>
      <c r="H297" t="str">
        <f t="shared" ca="1" si="69"/>
        <v/>
      </c>
      <c r="I297" t="str">
        <f t="shared" ca="1" si="70"/>
        <v/>
      </c>
      <c r="K297" t="str" cm="1">
        <f t="array" aca="1" ref="K297" ca="1">IF(L297="","",(_xlfn.IFS(L297&gt;=15000,VLOOKUP(AW300,$BE$5:$BH$15,4),L297&gt;=4000,VLOOKUP(AW300,$BE$5:$BH$15,3),L297&gt;=100,VLOOKUP(AW300,$BE$5:$BH$15,2))))</f>
        <v/>
      </c>
      <c r="L297" t="str">
        <f t="shared" ca="1" si="71"/>
        <v/>
      </c>
      <c r="AF297" s="1">
        <f t="shared" ca="1" si="75"/>
        <v>4</v>
      </c>
      <c r="AG297" s="1">
        <f t="shared" ca="1" si="75"/>
        <v>10</v>
      </c>
      <c r="AH297" s="1"/>
      <c r="AI297" s="1">
        <f t="shared" ca="1" si="73"/>
        <v>0.5</v>
      </c>
      <c r="AJ297" s="1">
        <f t="shared" ca="1" si="74"/>
        <v>8</v>
      </c>
      <c r="AO297" s="1">
        <f t="shared" ca="1" si="76"/>
        <v>46</v>
      </c>
      <c r="AP297" s="1">
        <f t="shared" ca="1" si="77"/>
        <v>-221</v>
      </c>
      <c r="AS297" s="1">
        <f t="shared" ca="1" si="78"/>
        <v>54</v>
      </c>
      <c r="AV297" s="1">
        <f t="shared" ca="1" si="79"/>
        <v>-278</v>
      </c>
      <c r="AW297" s="1">
        <f t="shared" ca="1" si="80"/>
        <v>10</v>
      </c>
    </row>
    <row r="298" spans="4:49" x14ac:dyDescent="0.3">
      <c r="D298" t="str">
        <f t="shared" ca="1" si="72"/>
        <v/>
      </c>
      <c r="E298" t="str" cm="1">
        <f t="array" aca="1" ref="E298" ca="1">_xlfn.IFS(D298="","",D298="Starstone", VLOOKUP($BK$4,$BK$6:$BM$11,3)*AI301*AJ301, D298 = "Tristal", VLOOKUP($BK$14,$BK$16:$BM$24,3)*AI301*AJ301, 1=1, VLOOKUP(AO301,$AX$75:$AZ$174,3)*AI301*AJ301)</f>
        <v/>
      </c>
      <c r="F298" t="str" cm="1">
        <f t="array" aca="1" ref="F298" ca="1">IF(D298="","",_xlfn.IFS(AH301&gt;5,"Normal",AND(AH301&lt;=5,$BK$28&lt;=4),VLOOKUP(AF301,$BK$29:$BN$39,2),AND(AH301&lt;=5,$BK$28&gt;=9),VLOOKUP(AF301,$BK$29:$BN$39,2), 1=1, "Normal"))</f>
        <v/>
      </c>
      <c r="G298" t="str" cm="1">
        <f t="array" aca="1" ref="G298" ca="1">IF(D298="","",_xlfn.IFS(AH301&gt;5, "Normal", AND(AH301&lt;=5, $BL$28&lt;=8, $BL$28&gt;=5), VLOOKUP(AG301,$BK$29:$BN$39,3), AND(AH301&lt;=5,$BK$28&gt;=9), VLOOKUP(AG301,$BK$29:$BN$39,3), 1=1, "Normal"))</f>
        <v/>
      </c>
      <c r="H298" t="str">
        <f t="shared" ca="1" si="69"/>
        <v/>
      </c>
      <c r="I298" t="str">
        <f t="shared" ca="1" si="70"/>
        <v/>
      </c>
      <c r="K298" t="str" cm="1">
        <f t="array" aca="1" ref="K298" ca="1">IF(L298="","",(_xlfn.IFS(L298&gt;=15000,VLOOKUP(AW301,$BE$5:$BH$15,4),L298&gt;=4000,VLOOKUP(AW301,$BE$5:$BH$15,3),L298&gt;=100,VLOOKUP(AW301,$BE$5:$BH$15,2))))</f>
        <v/>
      </c>
      <c r="L298" t="str">
        <f t="shared" ca="1" si="71"/>
        <v/>
      </c>
      <c r="AF298" s="1">
        <f t="shared" ca="1" si="75"/>
        <v>9</v>
      </c>
      <c r="AG298" s="1">
        <f t="shared" ca="1" si="75"/>
        <v>6</v>
      </c>
      <c r="AH298" s="1"/>
      <c r="AI298" s="1">
        <f t="shared" ca="1" si="73"/>
        <v>4</v>
      </c>
      <c r="AJ298" s="1">
        <f t="shared" ca="1" si="74"/>
        <v>2</v>
      </c>
      <c r="AO298" s="1">
        <f t="shared" ca="1" si="76"/>
        <v>13</v>
      </c>
      <c r="AP298" s="1">
        <f t="shared" ca="1" si="77"/>
        <v>-222</v>
      </c>
      <c r="AS298" s="1">
        <f t="shared" ca="1" si="78"/>
        <v>8</v>
      </c>
      <c r="AV298" s="1">
        <f t="shared" ca="1" si="79"/>
        <v>-279</v>
      </c>
      <c r="AW298" s="1">
        <f t="shared" ca="1" si="80"/>
        <v>8</v>
      </c>
    </row>
    <row r="299" spans="4:49" x14ac:dyDescent="0.3">
      <c r="D299" t="str">
        <f t="shared" ca="1" si="72"/>
        <v/>
      </c>
      <c r="E299" t="str" cm="1">
        <f t="array" aca="1" ref="E299" ca="1">_xlfn.IFS(D299="","",D299="Starstone", VLOOKUP($BK$4,$BK$6:$BM$11,3)*AI302*AJ302, D299 = "Tristal", VLOOKUP($BK$14,$BK$16:$BM$24,3)*AI302*AJ302, 1=1, VLOOKUP(AO302,$AX$75:$AZ$174,3)*AI302*AJ302)</f>
        <v/>
      </c>
      <c r="F299" t="str" cm="1">
        <f t="array" aca="1" ref="F299" ca="1">IF(D299="","",_xlfn.IFS(AH302&gt;5,"Normal",AND(AH302&lt;=5,$BK$28&lt;=4),VLOOKUP(AF302,$BK$29:$BN$39,2),AND(AH302&lt;=5,$BK$28&gt;=9),VLOOKUP(AF302,$BK$29:$BN$39,2), 1=1, "Normal"))</f>
        <v/>
      </c>
      <c r="G299" t="str" cm="1">
        <f t="array" aca="1" ref="G299" ca="1">IF(D299="","",_xlfn.IFS(AH302&gt;5, "Normal", AND(AH302&lt;=5, $BL$28&lt;=8, $BL$28&gt;=5), VLOOKUP(AG302,$BK$29:$BN$39,3), AND(AH302&lt;=5,$BK$28&gt;=9), VLOOKUP(AG302,$BK$29:$BN$39,3), 1=1, "Normal"))</f>
        <v/>
      </c>
      <c r="H299" t="str">
        <f t="shared" ca="1" si="69"/>
        <v/>
      </c>
      <c r="I299" t="str">
        <f t="shared" ca="1" si="70"/>
        <v/>
      </c>
      <c r="K299" t="str" cm="1">
        <f t="array" aca="1" ref="K299" ca="1">IF(L299="","",(_xlfn.IFS(L299&gt;=15000,VLOOKUP(AW302,$BE$5:$BH$15,4),L299&gt;=4000,VLOOKUP(AW302,$BE$5:$BH$15,3),L299&gt;=100,VLOOKUP(AW302,$BE$5:$BH$15,2))))</f>
        <v/>
      </c>
      <c r="L299" t="str">
        <f t="shared" ca="1" si="71"/>
        <v/>
      </c>
      <c r="AF299" s="1">
        <f t="shared" ca="1" si="75"/>
        <v>9</v>
      </c>
      <c r="AG299" s="1">
        <f t="shared" ca="1" si="75"/>
        <v>10</v>
      </c>
      <c r="AH299" s="1"/>
      <c r="AI299" s="1">
        <f t="shared" ca="1" si="73"/>
        <v>4</v>
      </c>
      <c r="AJ299" s="1">
        <f t="shared" ca="1" si="74"/>
        <v>8</v>
      </c>
      <c r="AO299" s="1">
        <f t="shared" ca="1" si="76"/>
        <v>77</v>
      </c>
      <c r="AP299" s="1">
        <f t="shared" ca="1" si="77"/>
        <v>-223</v>
      </c>
      <c r="AS299" s="1">
        <f t="shared" ca="1" si="78"/>
        <v>7</v>
      </c>
      <c r="AV299" s="1">
        <f t="shared" ca="1" si="79"/>
        <v>-280</v>
      </c>
      <c r="AW299" s="1">
        <f t="shared" ca="1" si="80"/>
        <v>4</v>
      </c>
    </row>
    <row r="300" spans="4:49" x14ac:dyDescent="0.3">
      <c r="D300" t="str">
        <f t="shared" ca="1" si="72"/>
        <v/>
      </c>
      <c r="E300" t="str" cm="1">
        <f t="array" aca="1" ref="E300" ca="1">_xlfn.IFS(D300="","",D300="Starstone", VLOOKUP($BK$4,$BK$6:$BM$11,3)*AI303*AJ303, D300 = "Tristal", VLOOKUP($BK$14,$BK$16:$BM$24,3)*AI303*AJ303, 1=1, VLOOKUP(AO303,$AX$75:$AZ$174,3)*AI303*AJ303)</f>
        <v/>
      </c>
      <c r="F300" t="str" cm="1">
        <f t="array" aca="1" ref="F300" ca="1">IF(D300="","",_xlfn.IFS(AH303&gt;5,"Normal",AND(AH303&lt;=5,$BK$28&lt;=4),VLOOKUP(AF303,$BK$29:$BN$39,2),AND(AH303&lt;=5,$BK$28&gt;=9),VLOOKUP(AF303,$BK$29:$BN$39,2), 1=1, "Normal"))</f>
        <v/>
      </c>
      <c r="G300" t="str" cm="1">
        <f t="array" aca="1" ref="G300" ca="1">IF(D300="","",_xlfn.IFS(AH303&gt;5, "Normal", AND(AH303&lt;=5, $BL$28&lt;=8, $BL$28&gt;=5), VLOOKUP(AG303,$BK$29:$BN$39,3), AND(AH303&lt;=5,$BK$28&gt;=9), VLOOKUP(AG303,$BK$29:$BN$39,3), 1=1, "Normal"))</f>
        <v/>
      </c>
      <c r="H300" t="str">
        <f t="shared" ca="1" si="69"/>
        <v/>
      </c>
      <c r="I300" t="str">
        <f t="shared" ca="1" si="70"/>
        <v/>
      </c>
      <c r="K300" t="str" cm="1">
        <f t="array" aca="1" ref="K300" ca="1">IF(L300="","",(_xlfn.IFS(L300&gt;=15000,VLOOKUP(AW303,$BE$5:$BH$15,4),L300&gt;=4000,VLOOKUP(AW303,$BE$5:$BH$15,3),L300&gt;=100,VLOOKUP(AW303,$BE$5:$BH$15,2))))</f>
        <v/>
      </c>
      <c r="L300" t="str">
        <f t="shared" ca="1" si="71"/>
        <v/>
      </c>
      <c r="AF300" s="1">
        <f t="shared" ca="1" si="75"/>
        <v>7</v>
      </c>
      <c r="AG300" s="1">
        <f t="shared" ca="1" si="75"/>
        <v>8</v>
      </c>
      <c r="AH300" s="1"/>
      <c r="AI300" s="1">
        <f t="shared" ca="1" si="73"/>
        <v>2</v>
      </c>
      <c r="AJ300" s="1">
        <f t="shared" ca="1" si="74"/>
        <v>4</v>
      </c>
      <c r="AO300" s="1">
        <f t="shared" ca="1" si="76"/>
        <v>45</v>
      </c>
      <c r="AP300" s="1">
        <f t="shared" ca="1" si="77"/>
        <v>-224</v>
      </c>
      <c r="AS300" s="1">
        <f t="shared" ca="1" si="78"/>
        <v>92</v>
      </c>
      <c r="AV300" s="1">
        <f t="shared" ca="1" si="79"/>
        <v>-281</v>
      </c>
      <c r="AW300" s="1">
        <f t="shared" ca="1" si="80"/>
        <v>3</v>
      </c>
    </row>
    <row r="301" spans="4:49" x14ac:dyDescent="0.3">
      <c r="D301" t="str">
        <f t="shared" ca="1" si="72"/>
        <v/>
      </c>
      <c r="E301" t="str" cm="1">
        <f t="array" aca="1" ref="E301" ca="1">_xlfn.IFS(D301="","",D301="Starstone", VLOOKUP($BK$4,$BK$6:$BM$11,3)*AI304*AJ304, D301 = "Tristal", VLOOKUP($BK$14,$BK$16:$BM$24,3)*AI304*AJ304, 1=1, VLOOKUP(AO304,$AX$75:$AZ$174,3)*AI304*AJ304)</f>
        <v/>
      </c>
      <c r="F301" t="str" cm="1">
        <f t="array" aca="1" ref="F301" ca="1">IF(D301="","",_xlfn.IFS(AH304&gt;5,"Normal",AND(AH304&lt;=5,$BK$28&lt;=4),VLOOKUP(AF304,$BK$29:$BN$39,2),AND(AH304&lt;=5,$BK$28&gt;=9),VLOOKUP(AF304,$BK$29:$BN$39,2), 1=1, "Normal"))</f>
        <v/>
      </c>
      <c r="G301" t="str" cm="1">
        <f t="array" aca="1" ref="G301" ca="1">IF(D301="","",_xlfn.IFS(AH304&gt;5, "Normal", AND(AH304&lt;=5, $BL$28&lt;=8, $BL$28&gt;=5), VLOOKUP(AG304,$BK$29:$BN$39,3), AND(AH304&lt;=5,$BK$28&gt;=9), VLOOKUP(AG304,$BK$29:$BN$39,3), 1=1, "Normal"))</f>
        <v/>
      </c>
      <c r="H301" t="str">
        <f t="shared" ca="1" si="69"/>
        <v/>
      </c>
      <c r="I301" t="str">
        <f t="shared" ca="1" si="70"/>
        <v/>
      </c>
      <c r="K301" t="str" cm="1">
        <f t="array" aca="1" ref="K301" ca="1">IF(L301="","",(_xlfn.IFS(L301&gt;=15000,VLOOKUP(AW304,$BE$5:$BH$15,4),L301&gt;=4000,VLOOKUP(AW304,$BE$5:$BH$15,3),L301&gt;=100,VLOOKUP(AW304,$BE$5:$BH$15,2))))</f>
        <v/>
      </c>
      <c r="L301" t="str">
        <f t="shared" ca="1" si="71"/>
        <v/>
      </c>
      <c r="AF301" s="1">
        <f t="shared" ca="1" si="75"/>
        <v>2</v>
      </c>
      <c r="AG301" s="1">
        <f t="shared" ca="1" si="75"/>
        <v>1</v>
      </c>
      <c r="AH301" s="1"/>
      <c r="AI301" s="1">
        <f t="shared" ca="1" si="73"/>
        <v>0.25</v>
      </c>
      <c r="AJ301" s="1">
        <f t="shared" ca="1" si="74"/>
        <v>0.125</v>
      </c>
      <c r="AO301" s="1">
        <f t="shared" ca="1" si="76"/>
        <v>64</v>
      </c>
      <c r="AP301" s="1">
        <f t="shared" ca="1" si="77"/>
        <v>-225</v>
      </c>
      <c r="AS301" s="1">
        <f t="shared" ca="1" si="78"/>
        <v>42</v>
      </c>
      <c r="AV301" s="1">
        <f t="shared" ca="1" si="79"/>
        <v>-282</v>
      </c>
      <c r="AW301" s="1">
        <f t="shared" ca="1" si="80"/>
        <v>10</v>
      </c>
    </row>
    <row r="302" spans="4:49" x14ac:dyDescent="0.3">
      <c r="D302" t="str">
        <f t="shared" ca="1" si="72"/>
        <v/>
      </c>
      <c r="E302" t="str" cm="1">
        <f t="array" aca="1" ref="E302" ca="1">_xlfn.IFS(D302="","",D302="Starstone", VLOOKUP($BK$4,$BK$6:$BM$11,3)*AI305*AJ305, D302 = "Tristal", VLOOKUP($BK$14,$BK$16:$BM$24,3)*AI305*AJ305, 1=1, VLOOKUP(AO305,$AX$75:$AZ$174,3)*AI305*AJ305)</f>
        <v/>
      </c>
      <c r="F302" t="str" cm="1">
        <f t="array" aca="1" ref="F302" ca="1">IF(D302="","",_xlfn.IFS(AH305&gt;5,"Normal",AND(AH305&lt;=5,$BK$28&lt;=4),VLOOKUP(AF305,$BK$29:$BN$39,2),AND(AH305&lt;=5,$BK$28&gt;=9),VLOOKUP(AF305,$BK$29:$BN$39,2), 1=1, "Normal"))</f>
        <v/>
      </c>
      <c r="G302" t="str" cm="1">
        <f t="array" aca="1" ref="G302" ca="1">IF(D302="","",_xlfn.IFS(AH305&gt;5, "Normal", AND(AH305&lt;=5, $BL$28&lt;=8, $BL$28&gt;=5), VLOOKUP(AG305,$BK$29:$BN$39,3), AND(AH305&lt;=5,$BK$28&gt;=9), VLOOKUP(AG305,$BK$29:$BN$39,3), 1=1, "Normal"))</f>
        <v/>
      </c>
      <c r="H302" t="str">
        <f t="shared" ca="1" si="69"/>
        <v/>
      </c>
      <c r="I302" t="str">
        <f t="shared" ca="1" si="70"/>
        <v/>
      </c>
      <c r="K302" t="str" cm="1">
        <f t="array" aca="1" ref="K302" ca="1">IF(L302="","",(_xlfn.IFS(L302&gt;=15000,VLOOKUP(AW305,$BE$5:$BH$15,4),L302&gt;=4000,VLOOKUP(AW305,$BE$5:$BH$15,3),L302&gt;=100,VLOOKUP(AW305,$BE$5:$BH$15,2))))</f>
        <v/>
      </c>
      <c r="L302" t="str">
        <f t="shared" ca="1" si="71"/>
        <v/>
      </c>
      <c r="AF302" s="1">
        <f t="shared" ca="1" si="75"/>
        <v>3</v>
      </c>
      <c r="AG302" s="1">
        <f t="shared" ca="1" si="75"/>
        <v>7</v>
      </c>
      <c r="AH302" s="1"/>
      <c r="AI302" s="1">
        <f t="shared" ca="1" si="73"/>
        <v>0.25</v>
      </c>
      <c r="AJ302" s="1">
        <f t="shared" ca="1" si="74"/>
        <v>2</v>
      </c>
      <c r="AO302" s="1">
        <f t="shared" ca="1" si="76"/>
        <v>95</v>
      </c>
      <c r="AP302" s="1">
        <f t="shared" ca="1" si="77"/>
        <v>-226</v>
      </c>
      <c r="AS302" s="1">
        <f t="shared" ca="1" si="78"/>
        <v>99</v>
      </c>
      <c r="AV302" s="1">
        <f t="shared" ca="1" si="79"/>
        <v>-283</v>
      </c>
      <c r="AW302" s="1">
        <f t="shared" ca="1" si="80"/>
        <v>7</v>
      </c>
    </row>
    <row r="303" spans="4:49" x14ac:dyDescent="0.3">
      <c r="D303" t="str">
        <f t="shared" ca="1" si="72"/>
        <v/>
      </c>
      <c r="E303" t="str" cm="1">
        <f t="array" aca="1" ref="E303" ca="1">_xlfn.IFS(D303="","",D303="Starstone", VLOOKUP($BK$4,$BK$6:$BM$11,3)*AI306*AJ306, D303 = "Tristal", VLOOKUP($BK$14,$BK$16:$BM$24,3)*AI306*AJ306, 1=1, VLOOKUP(AO306,$AX$75:$AZ$174,3)*AI306*AJ306)</f>
        <v/>
      </c>
      <c r="F303" t="str" cm="1">
        <f t="array" aca="1" ref="F303" ca="1">IF(D303="","",_xlfn.IFS(AH306&gt;5,"Normal",AND(AH306&lt;=5,$BK$28&lt;=4),VLOOKUP(AF306,$BK$29:$BN$39,2),AND(AH306&lt;=5,$BK$28&gt;=9),VLOOKUP(AF306,$BK$29:$BN$39,2), 1=1, "Normal"))</f>
        <v/>
      </c>
      <c r="G303" t="str" cm="1">
        <f t="array" aca="1" ref="G303" ca="1">IF(D303="","",_xlfn.IFS(AH306&gt;5, "Normal", AND(AH306&lt;=5, $BL$28&lt;=8, $BL$28&gt;=5), VLOOKUP(AG306,$BK$29:$BN$39,3), AND(AH306&lt;=5,$BK$28&gt;=9), VLOOKUP(AG306,$BK$29:$BN$39,3), 1=1, "Normal"))</f>
        <v/>
      </c>
      <c r="H303" t="str">
        <f t="shared" ca="1" si="69"/>
        <v/>
      </c>
      <c r="I303" t="str">
        <f t="shared" ca="1" si="70"/>
        <v/>
      </c>
      <c r="K303" t="str" cm="1">
        <f t="array" aca="1" ref="K303" ca="1">IF(L303="","",(_xlfn.IFS(L303&gt;=15000,VLOOKUP(AW306,$BE$5:$BH$15,4),L303&gt;=4000,VLOOKUP(AW306,$BE$5:$BH$15,3),L303&gt;=100,VLOOKUP(AW306,$BE$5:$BH$15,2))))</f>
        <v/>
      </c>
      <c r="L303" t="str">
        <f t="shared" ca="1" si="71"/>
        <v/>
      </c>
      <c r="AF303" s="1">
        <f t="shared" ca="1" si="75"/>
        <v>8</v>
      </c>
      <c r="AG303" s="1">
        <f t="shared" ca="1" si="75"/>
        <v>5</v>
      </c>
      <c r="AH303" s="1"/>
      <c r="AI303" s="1">
        <f t="shared" ca="1" si="73"/>
        <v>4</v>
      </c>
      <c r="AJ303" s="1">
        <f t="shared" ca="1" si="74"/>
        <v>0.5</v>
      </c>
      <c r="AO303" s="1">
        <f t="shared" ca="1" si="76"/>
        <v>56</v>
      </c>
      <c r="AP303" s="1">
        <f t="shared" ca="1" si="77"/>
        <v>-227</v>
      </c>
      <c r="AS303" s="1">
        <f t="shared" ca="1" si="78"/>
        <v>64</v>
      </c>
      <c r="AV303" s="1">
        <f t="shared" ca="1" si="79"/>
        <v>-284</v>
      </c>
      <c r="AW303" s="1">
        <f t="shared" ca="1" si="80"/>
        <v>4</v>
      </c>
    </row>
    <row r="304" spans="4:49" x14ac:dyDescent="0.3">
      <c r="D304" t="str">
        <f t="shared" ca="1" si="72"/>
        <v/>
      </c>
      <c r="E304" t="str" cm="1">
        <f t="array" aca="1" ref="E304" ca="1">_xlfn.IFS(D304="","",D304="Starstone", VLOOKUP($BK$4,$BK$6:$BM$11,3)*AI307*AJ307, D304 = "Tristal", VLOOKUP($BK$14,$BK$16:$BM$24,3)*AI307*AJ307, 1=1, VLOOKUP(AO307,$AX$75:$AZ$174,3)*AI307*AJ307)</f>
        <v/>
      </c>
      <c r="F304" t="str" cm="1">
        <f t="array" aca="1" ref="F304" ca="1">IF(D304="","",_xlfn.IFS(AH307&gt;5,"Normal",AND(AH307&lt;=5,$BK$28&lt;=4),VLOOKUP(AF307,$BK$29:$BN$39,2),AND(AH307&lt;=5,$BK$28&gt;=9),VLOOKUP(AF307,$BK$29:$BN$39,2), 1=1, "Normal"))</f>
        <v/>
      </c>
      <c r="G304" t="str" cm="1">
        <f t="array" aca="1" ref="G304" ca="1">IF(D304="","",_xlfn.IFS(AH307&gt;5, "Normal", AND(AH307&lt;=5, $BL$28&lt;=8, $BL$28&gt;=5), VLOOKUP(AG307,$BK$29:$BN$39,3), AND(AH307&lt;=5,$BK$28&gt;=9), VLOOKUP(AG307,$BK$29:$BN$39,3), 1=1, "Normal"))</f>
        <v/>
      </c>
      <c r="H304" t="str">
        <f t="shared" ca="1" si="69"/>
        <v/>
      </c>
      <c r="I304" t="str">
        <f t="shared" ca="1" si="70"/>
        <v/>
      </c>
      <c r="K304" t="str" cm="1">
        <f t="array" aca="1" ref="K304" ca="1">IF(L304="","",(_xlfn.IFS(L304&gt;=15000,VLOOKUP(AW307,$BE$5:$BH$15,4),L304&gt;=4000,VLOOKUP(AW307,$BE$5:$BH$15,3),L304&gt;=100,VLOOKUP(AW307,$BE$5:$BH$15,2))))</f>
        <v/>
      </c>
      <c r="L304" t="str">
        <f t="shared" ca="1" si="71"/>
        <v/>
      </c>
      <c r="AF304" s="1">
        <f t="shared" ca="1" si="75"/>
        <v>7</v>
      </c>
      <c r="AG304" s="1">
        <f t="shared" ca="1" si="75"/>
        <v>8</v>
      </c>
      <c r="AH304" s="1"/>
      <c r="AI304" s="1">
        <f t="shared" ca="1" si="73"/>
        <v>2</v>
      </c>
      <c r="AJ304" s="1">
        <f t="shared" ca="1" si="74"/>
        <v>4</v>
      </c>
      <c r="AO304" s="1">
        <f t="shared" ca="1" si="76"/>
        <v>71</v>
      </c>
      <c r="AP304" s="1">
        <f t="shared" ca="1" si="77"/>
        <v>-228</v>
      </c>
      <c r="AS304" s="1">
        <f t="shared" ca="1" si="78"/>
        <v>37</v>
      </c>
      <c r="AV304" s="1">
        <f t="shared" ca="1" si="79"/>
        <v>-285</v>
      </c>
      <c r="AW304" s="1">
        <f t="shared" ca="1" si="80"/>
        <v>6</v>
      </c>
    </row>
    <row r="305" spans="4:49" x14ac:dyDescent="0.3">
      <c r="D305" t="str">
        <f t="shared" ca="1" si="72"/>
        <v/>
      </c>
      <c r="E305" t="str" cm="1">
        <f t="array" aca="1" ref="E305" ca="1">_xlfn.IFS(D305="","",D305="Starstone", VLOOKUP($BK$4,$BK$6:$BM$11,3)*AI308*AJ308, D305 = "Tristal", VLOOKUP($BK$14,$BK$16:$BM$24,3)*AI308*AJ308, 1=1, VLOOKUP(AO308,$AX$75:$AZ$174,3)*AI308*AJ308)</f>
        <v/>
      </c>
      <c r="F305" t="str" cm="1">
        <f t="array" aca="1" ref="F305" ca="1">IF(D305="","",_xlfn.IFS(AH308&gt;5,"Normal",AND(AH308&lt;=5,$BK$28&lt;=4),VLOOKUP(AF308,$BK$29:$BN$39,2),AND(AH308&lt;=5,$BK$28&gt;=9),VLOOKUP(AF308,$BK$29:$BN$39,2), 1=1, "Normal"))</f>
        <v/>
      </c>
      <c r="G305" t="str" cm="1">
        <f t="array" aca="1" ref="G305" ca="1">IF(D305="","",_xlfn.IFS(AH308&gt;5, "Normal", AND(AH308&lt;=5, $BL$28&lt;=8, $BL$28&gt;=5), VLOOKUP(AG308,$BK$29:$BN$39,3), AND(AH308&lt;=5,$BK$28&gt;=9), VLOOKUP(AG308,$BK$29:$BN$39,3), 1=1, "Normal"))</f>
        <v/>
      </c>
      <c r="H305" t="str">
        <f t="shared" ca="1" si="69"/>
        <v/>
      </c>
      <c r="I305" t="str">
        <f t="shared" ca="1" si="70"/>
        <v/>
      </c>
      <c r="K305" t="str" cm="1">
        <f t="array" aca="1" ref="K305" ca="1">IF(L305="","",(_xlfn.IFS(L305&gt;=15000,VLOOKUP(AW308,$BE$5:$BH$15,4),L305&gt;=4000,VLOOKUP(AW308,$BE$5:$BH$15,3),L305&gt;=100,VLOOKUP(AW308,$BE$5:$BH$15,2))))</f>
        <v/>
      </c>
      <c r="L305" t="str">
        <f t="shared" ca="1" si="71"/>
        <v/>
      </c>
      <c r="AF305" s="1">
        <f t="shared" ca="1" si="75"/>
        <v>1</v>
      </c>
      <c r="AG305" s="1">
        <f t="shared" ca="1" si="75"/>
        <v>4</v>
      </c>
      <c r="AH305" s="1"/>
      <c r="AI305" s="1">
        <f t="shared" ca="1" si="73"/>
        <v>0.125</v>
      </c>
      <c r="AJ305" s="1">
        <f t="shared" ca="1" si="74"/>
        <v>0.5</v>
      </c>
      <c r="AO305" s="1">
        <f t="shared" ca="1" si="76"/>
        <v>65</v>
      </c>
      <c r="AP305" s="1">
        <f t="shared" ca="1" si="77"/>
        <v>-229</v>
      </c>
      <c r="AS305" s="1">
        <f t="shared" ca="1" si="78"/>
        <v>66</v>
      </c>
      <c r="AV305" s="1">
        <f t="shared" ca="1" si="79"/>
        <v>-286</v>
      </c>
      <c r="AW305" s="1">
        <f t="shared" ca="1" si="80"/>
        <v>6</v>
      </c>
    </row>
    <row r="306" spans="4:49" x14ac:dyDescent="0.3">
      <c r="D306" t="str">
        <f t="shared" ca="1" si="72"/>
        <v/>
      </c>
      <c r="E306" t="str" cm="1">
        <f t="array" aca="1" ref="E306" ca="1">_xlfn.IFS(D306="","",D306="Starstone", VLOOKUP($BK$4,$BK$6:$BM$11,3)*AI309*AJ309, D306 = "Tristal", VLOOKUP($BK$14,$BK$16:$BM$24,3)*AI309*AJ309, 1=1, VLOOKUP(AO309,$AX$75:$AZ$174,3)*AI309*AJ309)</f>
        <v/>
      </c>
      <c r="F306" t="str" cm="1">
        <f t="array" aca="1" ref="F306" ca="1">IF(D306="","",_xlfn.IFS(AH309&gt;5,"Normal",AND(AH309&lt;=5,$BK$28&lt;=4),VLOOKUP(AF309,$BK$29:$BN$39,2),AND(AH309&lt;=5,$BK$28&gt;=9),VLOOKUP(AF309,$BK$29:$BN$39,2), 1=1, "Normal"))</f>
        <v/>
      </c>
      <c r="G306" t="str" cm="1">
        <f t="array" aca="1" ref="G306" ca="1">IF(D306="","",_xlfn.IFS(AH309&gt;5, "Normal", AND(AH309&lt;=5, $BL$28&lt;=8, $BL$28&gt;=5), VLOOKUP(AG309,$BK$29:$BN$39,3), AND(AH309&lt;=5,$BK$28&gt;=9), VLOOKUP(AG309,$BK$29:$BN$39,3), 1=1, "Normal"))</f>
        <v/>
      </c>
      <c r="H306" t="str">
        <f t="shared" ca="1" si="69"/>
        <v/>
      </c>
      <c r="I306" t="str">
        <f t="shared" ca="1" si="70"/>
        <v/>
      </c>
      <c r="K306" t="str" cm="1">
        <f t="array" aca="1" ref="K306" ca="1">IF(L306="","",(_xlfn.IFS(L306&gt;=15000,VLOOKUP(AW309,$BE$5:$BH$15,4),L306&gt;=4000,VLOOKUP(AW309,$BE$5:$BH$15,3),L306&gt;=100,VLOOKUP(AW309,$BE$5:$BH$15,2))))</f>
        <v/>
      </c>
      <c r="L306" t="str">
        <f t="shared" ca="1" si="71"/>
        <v/>
      </c>
      <c r="AF306" s="1">
        <f t="shared" ca="1" si="75"/>
        <v>9</v>
      </c>
      <c r="AG306" s="1">
        <f t="shared" ca="1" si="75"/>
        <v>2</v>
      </c>
      <c r="AH306" s="1"/>
      <c r="AI306" s="1">
        <f t="shared" ca="1" si="73"/>
        <v>4</v>
      </c>
      <c r="AJ306" s="1">
        <f t="shared" ca="1" si="74"/>
        <v>0.25</v>
      </c>
      <c r="AO306" s="1">
        <f t="shared" ca="1" si="76"/>
        <v>70</v>
      </c>
      <c r="AP306" s="1">
        <f t="shared" ca="1" si="77"/>
        <v>-230</v>
      </c>
      <c r="AS306" s="1">
        <f t="shared" ca="1" si="78"/>
        <v>9</v>
      </c>
      <c r="AV306" s="1">
        <f t="shared" ca="1" si="79"/>
        <v>-287</v>
      </c>
      <c r="AW306" s="1">
        <f t="shared" ca="1" si="80"/>
        <v>10</v>
      </c>
    </row>
    <row r="307" spans="4:49" x14ac:dyDescent="0.3">
      <c r="D307" t="str">
        <f t="shared" ca="1" si="72"/>
        <v/>
      </c>
      <c r="E307" t="str" cm="1">
        <f t="array" aca="1" ref="E307" ca="1">_xlfn.IFS(D307="","",D307="Starstone", VLOOKUP($BK$4,$BK$6:$BM$11,3)*AI310*AJ310, D307 = "Tristal", VLOOKUP($BK$14,$BK$16:$BM$24,3)*AI310*AJ310, 1=1, VLOOKUP(AO310,$AX$75:$AZ$174,3)*AI310*AJ310)</f>
        <v/>
      </c>
      <c r="F307" t="str" cm="1">
        <f t="array" aca="1" ref="F307" ca="1">IF(D307="","",_xlfn.IFS(AH310&gt;5,"Normal",AND(AH310&lt;=5,$BK$28&lt;=4),VLOOKUP(AF310,$BK$29:$BN$39,2),AND(AH310&lt;=5,$BK$28&gt;=9),VLOOKUP(AF310,$BK$29:$BN$39,2), 1=1, "Normal"))</f>
        <v/>
      </c>
      <c r="G307" t="str" cm="1">
        <f t="array" aca="1" ref="G307" ca="1">IF(D307="","",_xlfn.IFS(AH310&gt;5, "Normal", AND(AH310&lt;=5, $BL$28&lt;=8, $BL$28&gt;=5), VLOOKUP(AG310,$BK$29:$BN$39,3), AND(AH310&lt;=5,$BK$28&gt;=9), VLOOKUP(AG310,$BK$29:$BN$39,3), 1=1, "Normal"))</f>
        <v/>
      </c>
      <c r="H307" t="str">
        <f t="shared" ca="1" si="69"/>
        <v/>
      </c>
      <c r="I307" t="str">
        <f t="shared" ca="1" si="70"/>
        <v/>
      </c>
      <c r="K307" t="str" cm="1">
        <f t="array" aca="1" ref="K307" ca="1">IF(L307="","",(_xlfn.IFS(L307&gt;=15000,VLOOKUP(AW310,$BE$5:$BH$15,4),L307&gt;=4000,VLOOKUP(AW310,$BE$5:$BH$15,3),L307&gt;=100,VLOOKUP(AW310,$BE$5:$BH$15,2))))</f>
        <v/>
      </c>
      <c r="L307" t="str">
        <f t="shared" ca="1" si="71"/>
        <v/>
      </c>
      <c r="AF307" s="1">
        <f t="shared" ca="1" si="75"/>
        <v>4</v>
      </c>
      <c r="AG307" s="1">
        <f t="shared" ca="1" si="75"/>
        <v>5</v>
      </c>
      <c r="AH307" s="1"/>
      <c r="AI307" s="1">
        <f t="shared" ca="1" si="73"/>
        <v>0.5</v>
      </c>
      <c r="AJ307" s="1">
        <f t="shared" ca="1" si="74"/>
        <v>0.5</v>
      </c>
      <c r="AO307" s="1">
        <f t="shared" ca="1" si="76"/>
        <v>51</v>
      </c>
      <c r="AP307" s="1">
        <f t="shared" ca="1" si="77"/>
        <v>-231</v>
      </c>
      <c r="AS307" s="1">
        <f t="shared" ca="1" si="78"/>
        <v>55</v>
      </c>
      <c r="AV307" s="1">
        <f t="shared" ca="1" si="79"/>
        <v>-288</v>
      </c>
      <c r="AW307" s="1">
        <f t="shared" ca="1" si="80"/>
        <v>6</v>
      </c>
    </row>
    <row r="308" spans="4:49" x14ac:dyDescent="0.3">
      <c r="D308" t="str">
        <f t="shared" ca="1" si="72"/>
        <v/>
      </c>
      <c r="E308" t="str" cm="1">
        <f t="array" aca="1" ref="E308" ca="1">_xlfn.IFS(D308="","",D308="Starstone", VLOOKUP($BK$4,$BK$6:$BM$11,3)*AI311*AJ311, D308 = "Tristal", VLOOKUP($BK$14,$BK$16:$BM$24,3)*AI311*AJ311, 1=1, VLOOKUP(AO311,$AX$75:$AZ$174,3)*AI311*AJ311)</f>
        <v/>
      </c>
      <c r="F308" t="str" cm="1">
        <f t="array" aca="1" ref="F308" ca="1">IF(D308="","",_xlfn.IFS(AH311&gt;5,"Normal",AND(AH311&lt;=5,$BK$28&lt;=4),VLOOKUP(AF311,$BK$29:$BN$39,2),AND(AH311&lt;=5,$BK$28&gt;=9),VLOOKUP(AF311,$BK$29:$BN$39,2), 1=1, "Normal"))</f>
        <v/>
      </c>
      <c r="G308" t="str" cm="1">
        <f t="array" aca="1" ref="G308" ca="1">IF(D308="","",_xlfn.IFS(AH311&gt;5, "Normal", AND(AH311&lt;=5, $BL$28&lt;=8, $BL$28&gt;=5), VLOOKUP(AG311,$BK$29:$BN$39,3), AND(AH311&lt;=5,$BK$28&gt;=9), VLOOKUP(AG311,$BK$29:$BN$39,3), 1=1, "Normal"))</f>
        <v/>
      </c>
      <c r="H308" t="str">
        <f t="shared" ca="1" si="69"/>
        <v/>
      </c>
      <c r="I308" t="str">
        <f t="shared" ca="1" si="70"/>
        <v/>
      </c>
      <c r="K308" t="str" cm="1">
        <f t="array" aca="1" ref="K308" ca="1">IF(L308="","",(_xlfn.IFS(L308&gt;=15000,VLOOKUP(AW311,$BE$5:$BH$15,4),L308&gt;=4000,VLOOKUP(AW311,$BE$5:$BH$15,3),L308&gt;=100,VLOOKUP(AW311,$BE$5:$BH$15,2))))</f>
        <v/>
      </c>
      <c r="L308" t="str">
        <f t="shared" ca="1" si="71"/>
        <v/>
      </c>
      <c r="AF308" s="1">
        <f t="shared" ca="1" si="75"/>
        <v>8</v>
      </c>
      <c r="AG308" s="1">
        <f t="shared" ca="1" si="75"/>
        <v>2</v>
      </c>
      <c r="AH308" s="1"/>
      <c r="AI308" s="1">
        <f t="shared" ca="1" si="73"/>
        <v>4</v>
      </c>
      <c r="AJ308" s="1">
        <f t="shared" ca="1" si="74"/>
        <v>0.25</v>
      </c>
      <c r="AO308" s="1">
        <f t="shared" ca="1" si="76"/>
        <v>6</v>
      </c>
      <c r="AP308" s="1">
        <f t="shared" ca="1" si="77"/>
        <v>-232</v>
      </c>
      <c r="AS308" s="1">
        <f t="shared" ca="1" si="78"/>
        <v>89</v>
      </c>
      <c r="AV308" s="1">
        <f t="shared" ca="1" si="79"/>
        <v>-289</v>
      </c>
      <c r="AW308" s="1">
        <f t="shared" ca="1" si="80"/>
        <v>8</v>
      </c>
    </row>
    <row r="309" spans="4:49" x14ac:dyDescent="0.3">
      <c r="D309" t="str">
        <f t="shared" ca="1" si="72"/>
        <v/>
      </c>
      <c r="E309" t="str" cm="1">
        <f t="array" aca="1" ref="E309" ca="1">_xlfn.IFS(D309="","",D309="Starstone", VLOOKUP($BK$4,$BK$6:$BM$11,3)*AI312*AJ312, D309 = "Tristal", VLOOKUP($BK$14,$BK$16:$BM$24,3)*AI312*AJ312, 1=1, VLOOKUP(AO312,$AX$75:$AZ$174,3)*AI312*AJ312)</f>
        <v/>
      </c>
      <c r="F309" t="str" cm="1">
        <f t="array" aca="1" ref="F309" ca="1">IF(D309="","",_xlfn.IFS(AH312&gt;5,"Normal",AND(AH312&lt;=5,$BK$28&lt;=4),VLOOKUP(AF312,$BK$29:$BN$39,2),AND(AH312&lt;=5,$BK$28&gt;=9),VLOOKUP(AF312,$BK$29:$BN$39,2), 1=1, "Normal"))</f>
        <v/>
      </c>
      <c r="G309" t="str" cm="1">
        <f t="array" aca="1" ref="G309" ca="1">IF(D309="","",_xlfn.IFS(AH312&gt;5, "Normal", AND(AH312&lt;=5, $BL$28&lt;=8, $BL$28&gt;=5), VLOOKUP(AG312,$BK$29:$BN$39,3), AND(AH312&lt;=5,$BK$28&gt;=9), VLOOKUP(AG312,$BK$29:$BN$39,3), 1=1, "Normal"))</f>
        <v/>
      </c>
      <c r="H309" t="str">
        <f t="shared" ca="1" si="69"/>
        <v/>
      </c>
      <c r="I309" t="str">
        <f t="shared" ca="1" si="70"/>
        <v/>
      </c>
      <c r="K309" t="str" cm="1">
        <f t="array" aca="1" ref="K309" ca="1">IF(L309="","",(_xlfn.IFS(L309&gt;=15000,VLOOKUP(AW312,$BE$5:$BH$15,4),L309&gt;=4000,VLOOKUP(AW312,$BE$5:$BH$15,3),L309&gt;=100,VLOOKUP(AW312,$BE$5:$BH$15,2))))</f>
        <v/>
      </c>
      <c r="L309" t="str">
        <f t="shared" ca="1" si="71"/>
        <v/>
      </c>
      <c r="AF309" s="1">
        <f t="shared" ca="1" si="75"/>
        <v>6</v>
      </c>
      <c r="AG309" s="1">
        <f t="shared" ca="1" si="75"/>
        <v>9</v>
      </c>
      <c r="AH309" s="1"/>
      <c r="AI309" s="1">
        <f t="shared" ca="1" si="73"/>
        <v>2</v>
      </c>
      <c r="AJ309" s="1">
        <f t="shared" ca="1" si="74"/>
        <v>4</v>
      </c>
      <c r="AO309" s="1">
        <f t="shared" ca="1" si="76"/>
        <v>87</v>
      </c>
      <c r="AP309" s="1">
        <f t="shared" ca="1" si="77"/>
        <v>-233</v>
      </c>
      <c r="AS309" s="1">
        <f t="shared" ca="1" si="78"/>
        <v>30</v>
      </c>
      <c r="AV309" s="1">
        <f t="shared" ca="1" si="79"/>
        <v>-290</v>
      </c>
      <c r="AW309" s="1">
        <f t="shared" ca="1" si="80"/>
        <v>7</v>
      </c>
    </row>
    <row r="310" spans="4:49" x14ac:dyDescent="0.3">
      <c r="D310" t="str">
        <f t="shared" ca="1" si="72"/>
        <v/>
      </c>
      <c r="E310" t="str" cm="1">
        <f t="array" aca="1" ref="E310" ca="1">_xlfn.IFS(D310="","",D310="Starstone", VLOOKUP($BK$4,$BK$6:$BM$11,3)*AI313*AJ313, D310 = "Tristal", VLOOKUP($BK$14,$BK$16:$BM$24,3)*AI313*AJ313, 1=1, VLOOKUP(AO313,$AX$75:$AZ$174,3)*AI313*AJ313)</f>
        <v/>
      </c>
      <c r="F310" t="str" cm="1">
        <f t="array" aca="1" ref="F310" ca="1">IF(D310="","",_xlfn.IFS(AH313&gt;5,"Normal",AND(AH313&lt;=5,$BK$28&lt;=4),VLOOKUP(AF313,$BK$29:$BN$39,2),AND(AH313&lt;=5,$BK$28&gt;=9),VLOOKUP(AF313,$BK$29:$BN$39,2), 1=1, "Normal"))</f>
        <v/>
      </c>
      <c r="G310" t="str" cm="1">
        <f t="array" aca="1" ref="G310" ca="1">IF(D310="","",_xlfn.IFS(AH313&gt;5, "Normal", AND(AH313&lt;=5, $BL$28&lt;=8, $BL$28&gt;=5), VLOOKUP(AG313,$BK$29:$BN$39,3), AND(AH313&lt;=5,$BK$28&gt;=9), VLOOKUP(AG313,$BK$29:$BN$39,3), 1=1, "Normal"))</f>
        <v/>
      </c>
      <c r="H310" t="str">
        <f t="shared" ca="1" si="69"/>
        <v/>
      </c>
      <c r="I310" t="str">
        <f t="shared" ca="1" si="70"/>
        <v/>
      </c>
      <c r="K310" t="str" cm="1">
        <f t="array" aca="1" ref="K310" ca="1">IF(L310="","",(_xlfn.IFS(L310&gt;=15000,VLOOKUP(AW313,$BE$5:$BH$15,4),L310&gt;=4000,VLOOKUP(AW313,$BE$5:$BH$15,3),L310&gt;=100,VLOOKUP(AW313,$BE$5:$BH$15,2))))</f>
        <v/>
      </c>
      <c r="L310" t="str">
        <f t="shared" ca="1" si="71"/>
        <v/>
      </c>
      <c r="AF310" s="1">
        <f t="shared" ca="1" si="75"/>
        <v>2</v>
      </c>
      <c r="AG310" s="1">
        <f t="shared" ca="1" si="75"/>
        <v>8</v>
      </c>
      <c r="AH310" s="1"/>
      <c r="AI310" s="1">
        <f t="shared" ca="1" si="73"/>
        <v>0.25</v>
      </c>
      <c r="AJ310" s="1">
        <f t="shared" ca="1" si="74"/>
        <v>4</v>
      </c>
      <c r="AO310" s="1">
        <f t="shared" ca="1" si="76"/>
        <v>34</v>
      </c>
      <c r="AP310" s="1">
        <f t="shared" ca="1" si="77"/>
        <v>-234</v>
      </c>
      <c r="AS310" s="1">
        <f t="shared" ca="1" si="78"/>
        <v>71</v>
      </c>
      <c r="AV310" s="1">
        <f t="shared" ca="1" si="79"/>
        <v>-291</v>
      </c>
      <c r="AW310" s="1">
        <f t="shared" ca="1" si="80"/>
        <v>3</v>
      </c>
    </row>
    <row r="311" spans="4:49" x14ac:dyDescent="0.3">
      <c r="D311" t="str">
        <f t="shared" ca="1" si="72"/>
        <v/>
      </c>
      <c r="E311" t="str" cm="1">
        <f t="array" aca="1" ref="E311" ca="1">_xlfn.IFS(D311="","",D311="Starstone", VLOOKUP($BK$4,$BK$6:$BM$11,3)*AI314*AJ314, D311 = "Tristal", VLOOKUP($BK$14,$BK$16:$BM$24,3)*AI314*AJ314, 1=1, VLOOKUP(AO314,$AX$75:$AZ$174,3)*AI314*AJ314)</f>
        <v/>
      </c>
      <c r="F311" t="str" cm="1">
        <f t="array" aca="1" ref="F311" ca="1">IF(D311="","",_xlfn.IFS(AH314&gt;5,"Normal",AND(AH314&lt;=5,$BK$28&lt;=4),VLOOKUP(AF314,$BK$29:$BN$39,2),AND(AH314&lt;=5,$BK$28&gt;=9),VLOOKUP(AF314,$BK$29:$BN$39,2), 1=1, "Normal"))</f>
        <v/>
      </c>
      <c r="G311" t="str" cm="1">
        <f t="array" aca="1" ref="G311" ca="1">IF(D311="","",_xlfn.IFS(AH314&gt;5, "Normal", AND(AH314&lt;=5, $BL$28&lt;=8, $BL$28&gt;=5), VLOOKUP(AG314,$BK$29:$BN$39,3), AND(AH314&lt;=5,$BK$28&gt;=9), VLOOKUP(AG314,$BK$29:$BN$39,3), 1=1, "Normal"))</f>
        <v/>
      </c>
      <c r="H311" t="str">
        <f t="shared" ca="1" si="69"/>
        <v/>
      </c>
      <c r="I311" t="str">
        <f t="shared" ca="1" si="70"/>
        <v/>
      </c>
      <c r="K311" t="str" cm="1">
        <f t="array" aca="1" ref="K311" ca="1">IF(L311="","",(_xlfn.IFS(L311&gt;=15000,VLOOKUP(AW314,$BE$5:$BH$15,4),L311&gt;=4000,VLOOKUP(AW314,$BE$5:$BH$15,3),L311&gt;=100,VLOOKUP(AW314,$BE$5:$BH$15,2))))</f>
        <v/>
      </c>
      <c r="L311" t="str">
        <f t="shared" ca="1" si="71"/>
        <v/>
      </c>
      <c r="AF311" s="1">
        <f t="shared" ca="1" si="75"/>
        <v>3</v>
      </c>
      <c r="AG311" s="1">
        <f t="shared" ca="1" si="75"/>
        <v>2</v>
      </c>
      <c r="AH311" s="1"/>
      <c r="AI311" s="1">
        <f t="shared" ca="1" si="73"/>
        <v>0.25</v>
      </c>
      <c r="AJ311" s="1">
        <f t="shared" ca="1" si="74"/>
        <v>0.25</v>
      </c>
      <c r="AO311" s="1">
        <f t="shared" ca="1" si="76"/>
        <v>5</v>
      </c>
      <c r="AP311" s="1">
        <f t="shared" ca="1" si="77"/>
        <v>-235</v>
      </c>
      <c r="AS311" s="1">
        <f t="shared" ca="1" si="78"/>
        <v>83</v>
      </c>
      <c r="AV311" s="1">
        <f t="shared" ca="1" si="79"/>
        <v>-292</v>
      </c>
      <c r="AW311" s="1">
        <f t="shared" ca="1" si="80"/>
        <v>2</v>
      </c>
    </row>
    <row r="312" spans="4:49" x14ac:dyDescent="0.3">
      <c r="D312" t="str">
        <f t="shared" ca="1" si="72"/>
        <v/>
      </c>
      <c r="E312" t="str" cm="1">
        <f t="array" aca="1" ref="E312" ca="1">_xlfn.IFS(D312="","",D312="Starstone", VLOOKUP($BK$4,$BK$6:$BM$11,3)*AI315*AJ315, D312 = "Tristal", VLOOKUP($BK$14,$BK$16:$BM$24,3)*AI315*AJ315, 1=1, VLOOKUP(AO315,$AX$75:$AZ$174,3)*AI315*AJ315)</f>
        <v/>
      </c>
      <c r="F312" t="str" cm="1">
        <f t="array" aca="1" ref="F312" ca="1">IF(D312="","",_xlfn.IFS(AH315&gt;5,"Normal",AND(AH315&lt;=5,$BK$28&lt;=4),VLOOKUP(AF315,$BK$29:$BN$39,2),AND(AH315&lt;=5,$BK$28&gt;=9),VLOOKUP(AF315,$BK$29:$BN$39,2), 1=1, "Normal"))</f>
        <v/>
      </c>
      <c r="G312" t="str" cm="1">
        <f t="array" aca="1" ref="G312" ca="1">IF(D312="","",_xlfn.IFS(AH315&gt;5, "Normal", AND(AH315&lt;=5, $BL$28&lt;=8, $BL$28&gt;=5), VLOOKUP(AG315,$BK$29:$BN$39,3), AND(AH315&lt;=5,$BK$28&gt;=9), VLOOKUP(AG315,$BK$29:$BN$39,3), 1=1, "Normal"))</f>
        <v/>
      </c>
      <c r="H312" t="str">
        <f t="shared" ca="1" si="69"/>
        <v/>
      </c>
      <c r="I312" t="str">
        <f t="shared" ca="1" si="70"/>
        <v/>
      </c>
      <c r="K312" t="str" cm="1">
        <f t="array" aca="1" ref="K312" ca="1">IF(L312="","",(_xlfn.IFS(L312&gt;=15000,VLOOKUP(AW315,$BE$5:$BH$15,4),L312&gt;=4000,VLOOKUP(AW315,$BE$5:$BH$15,3),L312&gt;=100,VLOOKUP(AW315,$BE$5:$BH$15,2))))</f>
        <v/>
      </c>
      <c r="L312" t="str">
        <f t="shared" ca="1" si="71"/>
        <v/>
      </c>
      <c r="AF312" s="1">
        <f t="shared" ca="1" si="75"/>
        <v>2</v>
      </c>
      <c r="AG312" s="1">
        <f t="shared" ca="1" si="75"/>
        <v>7</v>
      </c>
      <c r="AH312" s="1"/>
      <c r="AI312" s="1">
        <f t="shared" ca="1" si="73"/>
        <v>0.25</v>
      </c>
      <c r="AJ312" s="1">
        <f t="shared" ca="1" si="74"/>
        <v>2</v>
      </c>
      <c r="AO312" s="1">
        <f t="shared" ca="1" si="76"/>
        <v>41</v>
      </c>
      <c r="AP312" s="1">
        <f t="shared" ca="1" si="77"/>
        <v>-236</v>
      </c>
      <c r="AS312" s="1">
        <f t="shared" ca="1" si="78"/>
        <v>48</v>
      </c>
      <c r="AV312" s="1">
        <f t="shared" ca="1" si="79"/>
        <v>-293</v>
      </c>
      <c r="AW312" s="1">
        <f t="shared" ca="1" si="80"/>
        <v>3</v>
      </c>
    </row>
    <row r="313" spans="4:49" x14ac:dyDescent="0.3">
      <c r="D313" t="str">
        <f t="shared" ca="1" si="72"/>
        <v/>
      </c>
      <c r="E313" t="str" cm="1">
        <f t="array" aca="1" ref="E313" ca="1">_xlfn.IFS(D313="","",D313="Starstone", VLOOKUP($BK$4,$BK$6:$BM$11,3)*AI316*AJ316, D313 = "Tristal", VLOOKUP($BK$14,$BK$16:$BM$24,3)*AI316*AJ316, 1=1, VLOOKUP(AO316,$AX$75:$AZ$174,3)*AI316*AJ316)</f>
        <v/>
      </c>
      <c r="F313" t="str" cm="1">
        <f t="array" aca="1" ref="F313" ca="1">IF(D313="","",_xlfn.IFS(AH316&gt;5,"Normal",AND(AH316&lt;=5,$BK$28&lt;=4),VLOOKUP(AF316,$BK$29:$BN$39,2),AND(AH316&lt;=5,$BK$28&gt;=9),VLOOKUP(AF316,$BK$29:$BN$39,2), 1=1, "Normal"))</f>
        <v/>
      </c>
      <c r="G313" t="str" cm="1">
        <f t="array" aca="1" ref="G313" ca="1">IF(D313="","",_xlfn.IFS(AH316&gt;5, "Normal", AND(AH316&lt;=5, $BL$28&lt;=8, $BL$28&gt;=5), VLOOKUP(AG316,$BK$29:$BN$39,3), AND(AH316&lt;=5,$BK$28&gt;=9), VLOOKUP(AG316,$BK$29:$BN$39,3), 1=1, "Normal"))</f>
        <v/>
      </c>
      <c r="H313" t="str">
        <f t="shared" ca="1" si="69"/>
        <v/>
      </c>
      <c r="I313" t="str">
        <f t="shared" ca="1" si="70"/>
        <v/>
      </c>
      <c r="K313" t="str" cm="1">
        <f t="array" aca="1" ref="K313" ca="1">IF(L313="","",(_xlfn.IFS(L313&gt;=15000,VLOOKUP(AW316,$BE$5:$BH$15,4),L313&gt;=4000,VLOOKUP(AW316,$BE$5:$BH$15,3),L313&gt;=100,VLOOKUP(AW316,$BE$5:$BH$15,2))))</f>
        <v/>
      </c>
      <c r="L313" t="str">
        <f t="shared" ca="1" si="71"/>
        <v/>
      </c>
      <c r="AF313" s="1">
        <f t="shared" ca="1" si="75"/>
        <v>6</v>
      </c>
      <c r="AG313" s="1">
        <f t="shared" ca="1" si="75"/>
        <v>2</v>
      </c>
      <c r="AH313" s="1"/>
      <c r="AI313" s="1">
        <f t="shared" ca="1" si="73"/>
        <v>2</v>
      </c>
      <c r="AJ313" s="1">
        <f t="shared" ca="1" si="74"/>
        <v>0.25</v>
      </c>
      <c r="AO313" s="1">
        <f t="shared" ca="1" si="76"/>
        <v>5</v>
      </c>
      <c r="AP313" s="1">
        <f t="shared" ca="1" si="77"/>
        <v>-237</v>
      </c>
      <c r="AS313" s="1">
        <f t="shared" ca="1" si="78"/>
        <v>58</v>
      </c>
      <c r="AV313" s="1">
        <f t="shared" ca="1" si="79"/>
        <v>-294</v>
      </c>
      <c r="AW313" s="1">
        <f t="shared" ca="1" si="80"/>
        <v>7</v>
      </c>
    </row>
    <row r="314" spans="4:49" x14ac:dyDescent="0.3">
      <c r="D314" t="str">
        <f t="shared" ca="1" si="72"/>
        <v/>
      </c>
      <c r="E314" t="str" cm="1">
        <f t="array" aca="1" ref="E314" ca="1">_xlfn.IFS(D314="","",D314="Starstone", VLOOKUP($BK$4,$BK$6:$BM$11,3)*AI317*AJ317, D314 = "Tristal", VLOOKUP($BK$14,$BK$16:$BM$24,3)*AI317*AJ317, 1=1, VLOOKUP(AO317,$AX$75:$AZ$174,3)*AI317*AJ317)</f>
        <v/>
      </c>
      <c r="F314" t="str" cm="1">
        <f t="array" aca="1" ref="F314" ca="1">IF(D314="","",_xlfn.IFS(AH317&gt;5,"Normal",AND(AH317&lt;=5,$BK$28&lt;=4),VLOOKUP(AF317,$BK$29:$BN$39,2),AND(AH317&lt;=5,$BK$28&gt;=9),VLOOKUP(AF317,$BK$29:$BN$39,2), 1=1, "Normal"))</f>
        <v/>
      </c>
      <c r="G314" t="str" cm="1">
        <f t="array" aca="1" ref="G314" ca="1">IF(D314="","",_xlfn.IFS(AH317&gt;5, "Normal", AND(AH317&lt;=5, $BL$28&lt;=8, $BL$28&gt;=5), VLOOKUP(AG317,$BK$29:$BN$39,3), AND(AH317&lt;=5,$BK$28&gt;=9), VLOOKUP(AG317,$BK$29:$BN$39,3), 1=1, "Normal"))</f>
        <v/>
      </c>
      <c r="H314" t="str">
        <f t="shared" ca="1" si="69"/>
        <v/>
      </c>
      <c r="I314" t="str">
        <f t="shared" ca="1" si="70"/>
        <v/>
      </c>
      <c r="K314" t="str" cm="1">
        <f t="array" aca="1" ref="K314" ca="1">IF(L314="","",(_xlfn.IFS(L314&gt;=15000,VLOOKUP(AW317,$BE$5:$BH$15,4),L314&gt;=4000,VLOOKUP(AW317,$BE$5:$BH$15,3),L314&gt;=100,VLOOKUP(AW317,$BE$5:$BH$15,2))))</f>
        <v/>
      </c>
      <c r="L314" t="str">
        <f t="shared" ca="1" si="71"/>
        <v/>
      </c>
      <c r="AF314" s="1">
        <f t="shared" ca="1" si="75"/>
        <v>2</v>
      </c>
      <c r="AG314" s="1">
        <f t="shared" ca="1" si="75"/>
        <v>3</v>
      </c>
      <c r="AH314" s="1"/>
      <c r="AI314" s="1">
        <f t="shared" ca="1" si="73"/>
        <v>0.25</v>
      </c>
      <c r="AJ314" s="1">
        <f t="shared" ca="1" si="74"/>
        <v>0.25</v>
      </c>
      <c r="AO314" s="1">
        <f t="shared" ca="1" si="76"/>
        <v>92</v>
      </c>
      <c r="AP314" s="1">
        <f t="shared" ca="1" si="77"/>
        <v>-238</v>
      </c>
      <c r="AS314" s="1">
        <f t="shared" ca="1" si="78"/>
        <v>71</v>
      </c>
      <c r="AV314" s="1">
        <f t="shared" ca="1" si="79"/>
        <v>-295</v>
      </c>
      <c r="AW314" s="1">
        <f t="shared" ca="1" si="80"/>
        <v>2</v>
      </c>
    </row>
    <row r="315" spans="4:49" x14ac:dyDescent="0.3">
      <c r="D315" t="str">
        <f t="shared" ca="1" si="72"/>
        <v/>
      </c>
      <c r="E315" t="str" cm="1">
        <f t="array" aca="1" ref="E315" ca="1">_xlfn.IFS(D315="","",D315="Starstone", VLOOKUP($BK$4,$BK$6:$BM$11,3)*AI318*AJ318, D315 = "Tristal", VLOOKUP($BK$14,$BK$16:$BM$24,3)*AI318*AJ318, 1=1, VLOOKUP(AO318,$AX$75:$AZ$174,3)*AI318*AJ318)</f>
        <v/>
      </c>
      <c r="F315" t="str" cm="1">
        <f t="array" aca="1" ref="F315" ca="1">IF(D315="","",_xlfn.IFS(AH318&gt;5,"Normal",AND(AH318&lt;=5,$BK$28&lt;=4),VLOOKUP(AF318,$BK$29:$BN$39,2),AND(AH318&lt;=5,$BK$28&gt;=9),VLOOKUP(AF318,$BK$29:$BN$39,2), 1=1, "Normal"))</f>
        <v/>
      </c>
      <c r="G315" t="str" cm="1">
        <f t="array" aca="1" ref="G315" ca="1">IF(D315="","",_xlfn.IFS(AH318&gt;5, "Normal", AND(AH318&lt;=5, $BL$28&lt;=8, $BL$28&gt;=5), VLOOKUP(AG318,$BK$29:$BN$39,3), AND(AH318&lt;=5,$BK$28&gt;=9), VLOOKUP(AG318,$BK$29:$BN$39,3), 1=1, "Normal"))</f>
        <v/>
      </c>
      <c r="H315" t="str">
        <f t="shared" ca="1" si="69"/>
        <v/>
      </c>
      <c r="I315" t="str">
        <f t="shared" ca="1" si="70"/>
        <v/>
      </c>
      <c r="K315" t="str" cm="1">
        <f t="array" aca="1" ref="K315" ca="1">IF(L315="","",(_xlfn.IFS(L315&gt;=15000,VLOOKUP(AW318,$BE$5:$BH$15,4),L315&gt;=4000,VLOOKUP(AW318,$BE$5:$BH$15,3),L315&gt;=100,VLOOKUP(AW318,$BE$5:$BH$15,2))))</f>
        <v/>
      </c>
      <c r="L315" t="str">
        <f t="shared" ca="1" si="71"/>
        <v/>
      </c>
      <c r="AF315" s="1">
        <f t="shared" ca="1" si="75"/>
        <v>6</v>
      </c>
      <c r="AG315" s="1">
        <f t="shared" ca="1" si="75"/>
        <v>9</v>
      </c>
      <c r="AH315" s="1"/>
      <c r="AI315" s="1">
        <f t="shared" ca="1" si="73"/>
        <v>2</v>
      </c>
      <c r="AJ315" s="1">
        <f t="shared" ca="1" si="74"/>
        <v>4</v>
      </c>
      <c r="AO315" s="1">
        <f t="shared" ca="1" si="76"/>
        <v>46</v>
      </c>
      <c r="AP315" s="1">
        <f t="shared" ca="1" si="77"/>
        <v>-239</v>
      </c>
      <c r="AS315" s="1">
        <f t="shared" ca="1" si="78"/>
        <v>76</v>
      </c>
      <c r="AV315" s="1">
        <f t="shared" ca="1" si="79"/>
        <v>-296</v>
      </c>
      <c r="AW315" s="1">
        <f t="shared" ca="1" si="80"/>
        <v>3</v>
      </c>
    </row>
    <row r="316" spans="4:49" x14ac:dyDescent="0.3">
      <c r="D316" t="str">
        <f t="shared" ca="1" si="72"/>
        <v/>
      </c>
      <c r="E316" t="str" cm="1">
        <f t="array" aca="1" ref="E316" ca="1">_xlfn.IFS(D316="","",D316="Starstone", VLOOKUP($BK$4,$BK$6:$BM$11,3)*AI319*AJ319, D316 = "Tristal", VLOOKUP($BK$14,$BK$16:$BM$24,3)*AI319*AJ319, 1=1, VLOOKUP(AO319,$AX$75:$AZ$174,3)*AI319*AJ319)</f>
        <v/>
      </c>
      <c r="F316" t="str" cm="1">
        <f t="array" aca="1" ref="F316" ca="1">IF(D316="","",_xlfn.IFS(AH319&gt;5,"Normal",AND(AH319&lt;=5,$BK$28&lt;=4),VLOOKUP(AF319,$BK$29:$BN$39,2),AND(AH319&lt;=5,$BK$28&gt;=9),VLOOKUP(AF319,$BK$29:$BN$39,2), 1=1, "Normal"))</f>
        <v/>
      </c>
      <c r="G316" t="str" cm="1">
        <f t="array" aca="1" ref="G316" ca="1">IF(D316="","",_xlfn.IFS(AH319&gt;5, "Normal", AND(AH319&lt;=5, $BL$28&lt;=8, $BL$28&gt;=5), VLOOKUP(AG319,$BK$29:$BN$39,3), AND(AH319&lt;=5,$BK$28&gt;=9), VLOOKUP(AG319,$BK$29:$BN$39,3), 1=1, "Normal"))</f>
        <v/>
      </c>
      <c r="H316" t="str">
        <f t="shared" ca="1" si="69"/>
        <v/>
      </c>
      <c r="I316" t="str">
        <f t="shared" ca="1" si="70"/>
        <v/>
      </c>
      <c r="K316" t="str" cm="1">
        <f t="array" aca="1" ref="K316" ca="1">IF(L316="","",(_xlfn.IFS(L316&gt;=15000,VLOOKUP(AW319,$BE$5:$BH$15,4),L316&gt;=4000,VLOOKUP(AW319,$BE$5:$BH$15,3),L316&gt;=100,VLOOKUP(AW319,$BE$5:$BH$15,2))))</f>
        <v/>
      </c>
      <c r="L316" t="str">
        <f t="shared" ca="1" si="71"/>
        <v/>
      </c>
      <c r="AF316" s="1">
        <f t="shared" ca="1" si="75"/>
        <v>10</v>
      </c>
      <c r="AG316" s="1">
        <f t="shared" ca="1" si="75"/>
        <v>9</v>
      </c>
      <c r="AH316" s="1"/>
      <c r="AI316" s="1">
        <f t="shared" ca="1" si="73"/>
        <v>8</v>
      </c>
      <c r="AJ316" s="1">
        <f t="shared" ca="1" si="74"/>
        <v>4</v>
      </c>
      <c r="AO316" s="1">
        <f t="shared" ca="1" si="76"/>
        <v>19</v>
      </c>
      <c r="AP316" s="1">
        <f t="shared" ca="1" si="77"/>
        <v>-240</v>
      </c>
      <c r="AS316" s="1">
        <f t="shared" ca="1" si="78"/>
        <v>8</v>
      </c>
      <c r="AV316" s="1">
        <f t="shared" ca="1" si="79"/>
        <v>-297</v>
      </c>
      <c r="AW316" s="1">
        <f t="shared" ca="1" si="80"/>
        <v>3</v>
      </c>
    </row>
    <row r="317" spans="4:49" x14ac:dyDescent="0.3">
      <c r="D317" t="str">
        <f t="shared" ca="1" si="72"/>
        <v/>
      </c>
      <c r="E317" t="str" cm="1">
        <f t="array" aca="1" ref="E317" ca="1">_xlfn.IFS(D317="","",D317="Starstone", VLOOKUP($BK$4,$BK$6:$BM$11,3)*AI320*AJ320, D317 = "Tristal", VLOOKUP($BK$14,$BK$16:$BM$24,3)*AI320*AJ320, 1=1, VLOOKUP(AO320,$AX$75:$AZ$174,3)*AI320*AJ320)</f>
        <v/>
      </c>
      <c r="F317" t="str" cm="1">
        <f t="array" aca="1" ref="F317" ca="1">IF(D317="","",_xlfn.IFS(AH320&gt;5,"Normal",AND(AH320&lt;=5,$BK$28&lt;=4),VLOOKUP(AF320,$BK$29:$BN$39,2),AND(AH320&lt;=5,$BK$28&gt;=9),VLOOKUP(AF320,$BK$29:$BN$39,2), 1=1, "Normal"))</f>
        <v/>
      </c>
      <c r="G317" t="str" cm="1">
        <f t="array" aca="1" ref="G317" ca="1">IF(D317="","",_xlfn.IFS(AH320&gt;5, "Normal", AND(AH320&lt;=5, $BL$28&lt;=8, $BL$28&gt;=5), VLOOKUP(AG320,$BK$29:$BN$39,3), AND(AH320&lt;=5,$BK$28&gt;=9), VLOOKUP(AG320,$BK$29:$BN$39,3), 1=1, "Normal"))</f>
        <v/>
      </c>
      <c r="H317" t="str">
        <f t="shared" ca="1" si="69"/>
        <v/>
      </c>
      <c r="I317" t="str">
        <f t="shared" ca="1" si="70"/>
        <v/>
      </c>
      <c r="K317" t="str" cm="1">
        <f t="array" aca="1" ref="K317" ca="1">IF(L317="","",(_xlfn.IFS(L317&gt;=15000,VLOOKUP(AW320,$BE$5:$BH$15,4),L317&gt;=4000,VLOOKUP(AW320,$BE$5:$BH$15,3),L317&gt;=100,VLOOKUP(AW320,$BE$5:$BH$15,2))))</f>
        <v/>
      </c>
      <c r="L317" t="str">
        <f t="shared" ca="1" si="71"/>
        <v/>
      </c>
      <c r="AF317" s="1">
        <f t="shared" ca="1" si="75"/>
        <v>3</v>
      </c>
      <c r="AG317" s="1">
        <f t="shared" ca="1" si="75"/>
        <v>6</v>
      </c>
      <c r="AH317" s="1"/>
      <c r="AI317" s="1">
        <f t="shared" ca="1" si="73"/>
        <v>0.25</v>
      </c>
      <c r="AJ317" s="1">
        <f t="shared" ca="1" si="74"/>
        <v>2</v>
      </c>
      <c r="AO317" s="1">
        <f t="shared" ca="1" si="76"/>
        <v>61</v>
      </c>
      <c r="AP317" s="1">
        <f t="shared" ca="1" si="77"/>
        <v>-241</v>
      </c>
      <c r="AS317" s="1">
        <f t="shared" ca="1" si="78"/>
        <v>60</v>
      </c>
      <c r="AV317" s="1">
        <f t="shared" ca="1" si="79"/>
        <v>-298</v>
      </c>
      <c r="AW317" s="1">
        <f t="shared" ca="1" si="80"/>
        <v>6</v>
      </c>
    </row>
    <row r="318" spans="4:49" x14ac:dyDescent="0.3">
      <c r="D318" t="str">
        <f t="shared" ca="1" si="72"/>
        <v/>
      </c>
      <c r="E318" t="str" cm="1">
        <f t="array" aca="1" ref="E318" ca="1">_xlfn.IFS(D318="","",D318="Starstone", VLOOKUP($BK$4,$BK$6:$BM$11,3)*AI321*AJ321, D318 = "Tristal", VLOOKUP($BK$14,$BK$16:$BM$24,3)*AI321*AJ321, 1=1, VLOOKUP(AO321,$AX$75:$AZ$174,3)*AI321*AJ321)</f>
        <v/>
      </c>
      <c r="F318" t="str" cm="1">
        <f t="array" aca="1" ref="F318" ca="1">IF(D318="","",_xlfn.IFS(AH321&gt;5,"Normal",AND(AH321&lt;=5,$BK$28&lt;=4),VLOOKUP(AF321,$BK$29:$BN$39,2),AND(AH321&lt;=5,$BK$28&gt;=9),VLOOKUP(AF321,$BK$29:$BN$39,2), 1=1, "Normal"))</f>
        <v/>
      </c>
      <c r="G318" t="str" cm="1">
        <f t="array" aca="1" ref="G318" ca="1">IF(D318="","",_xlfn.IFS(AH321&gt;5, "Normal", AND(AH321&lt;=5, $BL$28&lt;=8, $BL$28&gt;=5), VLOOKUP(AG321,$BK$29:$BN$39,3), AND(AH321&lt;=5,$BK$28&gt;=9), VLOOKUP(AG321,$BK$29:$BN$39,3), 1=1, "Normal"))</f>
        <v/>
      </c>
      <c r="H318" t="str">
        <f t="shared" ca="1" si="69"/>
        <v/>
      </c>
      <c r="I318" t="str">
        <f t="shared" ca="1" si="70"/>
        <v/>
      </c>
      <c r="K318" t="str" cm="1">
        <f t="array" aca="1" ref="K318" ca="1">IF(L318="","",(_xlfn.IFS(L318&gt;=15000,VLOOKUP(AW321,$BE$5:$BH$15,4),L318&gt;=4000,VLOOKUP(AW321,$BE$5:$BH$15,3),L318&gt;=100,VLOOKUP(AW321,$BE$5:$BH$15,2))))</f>
        <v/>
      </c>
      <c r="L318" t="str">
        <f t="shared" ca="1" si="71"/>
        <v/>
      </c>
      <c r="AF318" s="1">
        <f t="shared" ca="1" si="75"/>
        <v>2</v>
      </c>
      <c r="AG318" s="1">
        <f t="shared" ca="1" si="75"/>
        <v>8</v>
      </c>
      <c r="AH318" s="1"/>
      <c r="AI318" s="1">
        <f t="shared" ca="1" si="73"/>
        <v>0.25</v>
      </c>
      <c r="AJ318" s="1">
        <f t="shared" ca="1" si="74"/>
        <v>4</v>
      </c>
      <c r="AO318" s="1">
        <f t="shared" ca="1" si="76"/>
        <v>95</v>
      </c>
      <c r="AP318" s="1">
        <f t="shared" ca="1" si="77"/>
        <v>-242</v>
      </c>
      <c r="AS318" s="1">
        <f t="shared" ca="1" si="78"/>
        <v>79</v>
      </c>
      <c r="AV318" s="1">
        <f t="shared" ca="1" si="79"/>
        <v>-299</v>
      </c>
      <c r="AW318" s="1">
        <f t="shared" ca="1" si="80"/>
        <v>9</v>
      </c>
    </row>
    <row r="319" spans="4:49" x14ac:dyDescent="0.3">
      <c r="D319" t="str">
        <f t="shared" ca="1" si="72"/>
        <v/>
      </c>
      <c r="E319" t="str" cm="1">
        <f t="array" aca="1" ref="E319" ca="1">_xlfn.IFS(D319="","",D319="Starstone", VLOOKUP($BK$4,$BK$6:$BM$11,3)*AI322*AJ322, D319 = "Tristal", VLOOKUP($BK$14,$BK$16:$BM$24,3)*AI322*AJ322, 1=1, VLOOKUP(AO322,$AX$75:$AZ$174,3)*AI322*AJ322)</f>
        <v/>
      </c>
      <c r="F319" t="str" cm="1">
        <f t="array" aca="1" ref="F319" ca="1">IF(D319="","",_xlfn.IFS(AH322&gt;5,"Normal",AND(AH322&lt;=5,$BK$28&lt;=4),VLOOKUP(AF322,$BK$29:$BN$39,2),AND(AH322&lt;=5,$BK$28&gt;=9),VLOOKUP(AF322,$BK$29:$BN$39,2), 1=1, "Normal"))</f>
        <v/>
      </c>
      <c r="G319" t="str" cm="1">
        <f t="array" aca="1" ref="G319" ca="1">IF(D319="","",_xlfn.IFS(AH322&gt;5, "Normal", AND(AH322&lt;=5, $BL$28&lt;=8, $BL$28&gt;=5), VLOOKUP(AG322,$BK$29:$BN$39,3), AND(AH322&lt;=5,$BK$28&gt;=9), VLOOKUP(AG322,$BK$29:$BN$39,3), 1=1, "Normal"))</f>
        <v/>
      </c>
      <c r="H319" t="str">
        <f t="shared" ca="1" si="69"/>
        <v/>
      </c>
      <c r="I319" t="str">
        <f t="shared" ca="1" si="70"/>
        <v/>
      </c>
      <c r="K319" t="str" cm="1">
        <f t="array" aca="1" ref="K319" ca="1">IF(L319="","",(_xlfn.IFS(L319&gt;=15000,VLOOKUP(AW322,$BE$5:$BH$15,4),L319&gt;=4000,VLOOKUP(AW322,$BE$5:$BH$15,3),L319&gt;=100,VLOOKUP(AW322,$BE$5:$BH$15,2))))</f>
        <v/>
      </c>
      <c r="L319" t="str">
        <f t="shared" ca="1" si="71"/>
        <v/>
      </c>
      <c r="AF319" s="1">
        <f t="shared" ca="1" si="75"/>
        <v>3</v>
      </c>
      <c r="AG319" s="1">
        <f t="shared" ca="1" si="75"/>
        <v>10</v>
      </c>
      <c r="AH319" s="1"/>
      <c r="AI319" s="1">
        <f t="shared" ca="1" si="73"/>
        <v>0.25</v>
      </c>
      <c r="AJ319" s="1">
        <f t="shared" ca="1" si="74"/>
        <v>8</v>
      </c>
      <c r="AO319" s="1">
        <f t="shared" ca="1" si="76"/>
        <v>80</v>
      </c>
      <c r="AP319" s="1">
        <f t="shared" ca="1" si="77"/>
        <v>-243</v>
      </c>
      <c r="AS319" s="1">
        <f t="shared" ca="1" si="78"/>
        <v>100</v>
      </c>
      <c r="AV319" s="1">
        <f t="shared" ca="1" si="79"/>
        <v>-300</v>
      </c>
      <c r="AW319" s="1">
        <f t="shared" ca="1" si="80"/>
        <v>1</v>
      </c>
    </row>
    <row r="320" spans="4:49" x14ac:dyDescent="0.3">
      <c r="D320" t="str">
        <f t="shared" ca="1" si="72"/>
        <v/>
      </c>
      <c r="E320" t="str" cm="1">
        <f t="array" aca="1" ref="E320" ca="1">_xlfn.IFS(D320="","",D320="Starstone", VLOOKUP($BK$4,$BK$6:$BM$11,3)*AI323*AJ323, D320 = "Tristal", VLOOKUP($BK$14,$BK$16:$BM$24,3)*AI323*AJ323, 1=1, VLOOKUP(AO323,$AX$75:$AZ$174,3)*AI323*AJ323)</f>
        <v/>
      </c>
      <c r="F320" t="str" cm="1">
        <f t="array" aca="1" ref="F320" ca="1">IF(D320="","",_xlfn.IFS(AH323&gt;5,"Normal",AND(AH323&lt;=5,$BK$28&lt;=4),VLOOKUP(AF323,$BK$29:$BN$39,2),AND(AH323&lt;=5,$BK$28&gt;=9),VLOOKUP(AF323,$BK$29:$BN$39,2), 1=1, "Normal"))</f>
        <v/>
      </c>
      <c r="G320" t="str" cm="1">
        <f t="array" aca="1" ref="G320" ca="1">IF(D320="","",_xlfn.IFS(AH323&gt;5, "Normal", AND(AH323&lt;=5, $BL$28&lt;=8, $BL$28&gt;=5), VLOOKUP(AG323,$BK$29:$BN$39,3), AND(AH323&lt;=5,$BK$28&gt;=9), VLOOKUP(AG323,$BK$29:$BN$39,3), 1=1, "Normal"))</f>
        <v/>
      </c>
      <c r="H320" t="str">
        <f t="shared" ca="1" si="69"/>
        <v/>
      </c>
      <c r="I320" t="str">
        <f t="shared" ca="1" si="70"/>
        <v/>
      </c>
      <c r="K320" t="str" cm="1">
        <f t="array" aca="1" ref="K320" ca="1">IF(L320="","",(_xlfn.IFS(L320&gt;=15000,VLOOKUP(AW323,$BE$5:$BH$15,4),L320&gt;=4000,VLOOKUP(AW323,$BE$5:$BH$15,3),L320&gt;=100,VLOOKUP(AW323,$BE$5:$BH$15,2))))</f>
        <v/>
      </c>
      <c r="L320" t="str">
        <f t="shared" ca="1" si="71"/>
        <v/>
      </c>
      <c r="AF320" s="1">
        <f t="shared" ca="1" si="75"/>
        <v>7</v>
      </c>
      <c r="AG320" s="1">
        <f t="shared" ca="1" si="75"/>
        <v>6</v>
      </c>
      <c r="AH320" s="1"/>
      <c r="AI320" s="1">
        <f t="shared" ca="1" si="73"/>
        <v>2</v>
      </c>
      <c r="AJ320" s="1">
        <f t="shared" ca="1" si="74"/>
        <v>2</v>
      </c>
      <c r="AO320" s="1">
        <f t="shared" ca="1" si="76"/>
        <v>85</v>
      </c>
      <c r="AP320" s="1">
        <f t="shared" ca="1" si="77"/>
        <v>-244</v>
      </c>
      <c r="AS320" s="1">
        <f t="shared" ca="1" si="78"/>
        <v>49</v>
      </c>
      <c r="AV320" s="1">
        <f t="shared" ca="1" si="79"/>
        <v>-301</v>
      </c>
      <c r="AW320" s="1">
        <f t="shared" ca="1" si="80"/>
        <v>9</v>
      </c>
    </row>
    <row r="321" spans="4:49" x14ac:dyDescent="0.3">
      <c r="D321" t="str">
        <f t="shared" ca="1" si="72"/>
        <v/>
      </c>
      <c r="E321" t="str" cm="1">
        <f t="array" aca="1" ref="E321" ca="1">_xlfn.IFS(D321="","",D321="Starstone", VLOOKUP($BK$4,$BK$6:$BM$11,3)*AI324*AJ324, D321 = "Tristal", VLOOKUP($BK$14,$BK$16:$BM$24,3)*AI324*AJ324, 1=1, VLOOKUP(AO324,$AX$75:$AZ$174,3)*AI324*AJ324)</f>
        <v/>
      </c>
      <c r="F321" t="str" cm="1">
        <f t="array" aca="1" ref="F321" ca="1">IF(D321="","",_xlfn.IFS(AH324&gt;5,"Normal",AND(AH324&lt;=5,$BK$28&lt;=4),VLOOKUP(AF324,$BK$29:$BN$39,2),AND(AH324&lt;=5,$BK$28&gt;=9),VLOOKUP(AF324,$BK$29:$BN$39,2), 1=1, "Normal"))</f>
        <v/>
      </c>
      <c r="G321" t="str" cm="1">
        <f t="array" aca="1" ref="G321" ca="1">IF(D321="","",_xlfn.IFS(AH324&gt;5, "Normal", AND(AH324&lt;=5, $BL$28&lt;=8, $BL$28&gt;=5), VLOOKUP(AG324,$BK$29:$BN$39,3), AND(AH324&lt;=5,$BK$28&gt;=9), VLOOKUP(AG324,$BK$29:$BN$39,3), 1=1, "Normal"))</f>
        <v/>
      </c>
      <c r="H321" t="str">
        <f t="shared" ca="1" si="69"/>
        <v/>
      </c>
      <c r="I321" t="str">
        <f t="shared" ca="1" si="70"/>
        <v/>
      </c>
      <c r="K321" t="str" cm="1">
        <f t="array" aca="1" ref="K321" ca="1">IF(L321="","",(_xlfn.IFS(L321&gt;=15000,VLOOKUP(AW324,$BE$5:$BH$15,4),L321&gt;=4000,VLOOKUP(AW324,$BE$5:$BH$15,3),L321&gt;=100,VLOOKUP(AW324,$BE$5:$BH$15,2))))</f>
        <v/>
      </c>
      <c r="L321" t="str">
        <f t="shared" ca="1" si="71"/>
        <v/>
      </c>
      <c r="AF321" s="1">
        <f t="shared" ca="1" si="75"/>
        <v>7</v>
      </c>
      <c r="AG321" s="1">
        <f t="shared" ca="1" si="75"/>
        <v>7</v>
      </c>
      <c r="AH321" s="1"/>
      <c r="AI321" s="1">
        <f t="shared" ca="1" si="73"/>
        <v>2</v>
      </c>
      <c r="AJ321" s="1">
        <f t="shared" ca="1" si="74"/>
        <v>2</v>
      </c>
      <c r="AO321" s="1">
        <f t="shared" ca="1" si="76"/>
        <v>47</v>
      </c>
      <c r="AP321" s="1">
        <f t="shared" ca="1" si="77"/>
        <v>-245</v>
      </c>
      <c r="AS321" s="1">
        <f t="shared" ca="1" si="78"/>
        <v>43</v>
      </c>
      <c r="AV321" s="1">
        <f t="shared" ca="1" si="79"/>
        <v>-302</v>
      </c>
      <c r="AW321" s="1">
        <f t="shared" ca="1" si="80"/>
        <v>5</v>
      </c>
    </row>
    <row r="322" spans="4:49" x14ac:dyDescent="0.3">
      <c r="D322" t="str">
        <f t="shared" ca="1" si="72"/>
        <v/>
      </c>
      <c r="E322" t="str" cm="1">
        <f t="array" aca="1" ref="E322" ca="1">_xlfn.IFS(D322="","",D322="Starstone", VLOOKUP($BK$4,$BK$6:$BM$11,3)*AI325*AJ325, D322 = "Tristal", VLOOKUP($BK$14,$BK$16:$BM$24,3)*AI325*AJ325, 1=1, VLOOKUP(AO325,$AX$75:$AZ$174,3)*AI325*AJ325)</f>
        <v/>
      </c>
      <c r="F322" t="str" cm="1">
        <f t="array" aca="1" ref="F322" ca="1">IF(D322="","",_xlfn.IFS(AH325&gt;5,"Normal",AND(AH325&lt;=5,$BK$28&lt;=4),VLOOKUP(AF325,$BK$29:$BN$39,2),AND(AH325&lt;=5,$BK$28&gt;=9),VLOOKUP(AF325,$BK$29:$BN$39,2), 1=1, "Normal"))</f>
        <v/>
      </c>
      <c r="G322" t="str" cm="1">
        <f t="array" aca="1" ref="G322" ca="1">IF(D322="","",_xlfn.IFS(AH325&gt;5, "Normal", AND(AH325&lt;=5, $BL$28&lt;=8, $BL$28&gt;=5), VLOOKUP(AG325,$BK$29:$BN$39,3), AND(AH325&lt;=5,$BK$28&gt;=9), VLOOKUP(AG325,$BK$29:$BN$39,3), 1=1, "Normal"))</f>
        <v/>
      </c>
      <c r="H322" t="str">
        <f t="shared" ca="1" si="69"/>
        <v/>
      </c>
      <c r="I322" t="str">
        <f t="shared" ca="1" si="70"/>
        <v/>
      </c>
      <c r="K322" t="str" cm="1">
        <f t="array" aca="1" ref="K322" ca="1">IF(L322="","",(_xlfn.IFS(L322&gt;=15000,VLOOKUP(AW325,$BE$5:$BH$15,4),L322&gt;=4000,VLOOKUP(AW325,$BE$5:$BH$15,3),L322&gt;=100,VLOOKUP(AW325,$BE$5:$BH$15,2))))</f>
        <v/>
      </c>
      <c r="L322" t="str">
        <f t="shared" ca="1" si="71"/>
        <v/>
      </c>
      <c r="AF322" s="1">
        <f t="shared" ca="1" si="75"/>
        <v>1</v>
      </c>
      <c r="AG322" s="1">
        <f t="shared" ca="1" si="75"/>
        <v>10</v>
      </c>
      <c r="AH322" s="1"/>
      <c r="AI322" s="1">
        <f t="shared" ca="1" si="73"/>
        <v>0.125</v>
      </c>
      <c r="AJ322" s="1">
        <f t="shared" ca="1" si="74"/>
        <v>8</v>
      </c>
      <c r="AO322" s="1">
        <f t="shared" ca="1" si="76"/>
        <v>93</v>
      </c>
      <c r="AP322" s="1">
        <f t="shared" ca="1" si="77"/>
        <v>-246</v>
      </c>
      <c r="AS322" s="1">
        <f t="shared" ca="1" si="78"/>
        <v>31</v>
      </c>
      <c r="AV322" s="1">
        <f t="shared" ca="1" si="79"/>
        <v>-303</v>
      </c>
      <c r="AW322" s="1">
        <f t="shared" ca="1" si="80"/>
        <v>2</v>
      </c>
    </row>
    <row r="323" spans="4:49" x14ac:dyDescent="0.3">
      <c r="D323" t="str">
        <f t="shared" ca="1" si="72"/>
        <v/>
      </c>
      <c r="E323" t="str" cm="1">
        <f t="array" aca="1" ref="E323" ca="1">_xlfn.IFS(D323="","",D323="Starstone", VLOOKUP($BK$4,$BK$6:$BM$11,3)*AI326*AJ326, D323 = "Tristal", VLOOKUP($BK$14,$BK$16:$BM$24,3)*AI326*AJ326, 1=1, VLOOKUP(AO326,$AX$75:$AZ$174,3)*AI326*AJ326)</f>
        <v/>
      </c>
      <c r="F323" t="str" cm="1">
        <f t="array" aca="1" ref="F323" ca="1">IF(D323="","",_xlfn.IFS(AH326&gt;5,"Normal",AND(AH326&lt;=5,$BK$28&lt;=4),VLOOKUP(AF326,$BK$29:$BN$39,2),AND(AH326&lt;=5,$BK$28&gt;=9),VLOOKUP(AF326,$BK$29:$BN$39,2), 1=1, "Normal"))</f>
        <v/>
      </c>
      <c r="G323" t="str" cm="1">
        <f t="array" aca="1" ref="G323" ca="1">IF(D323="","",_xlfn.IFS(AH326&gt;5, "Normal", AND(AH326&lt;=5, $BL$28&lt;=8, $BL$28&gt;=5), VLOOKUP(AG326,$BK$29:$BN$39,3), AND(AH326&lt;=5,$BK$28&gt;=9), VLOOKUP(AG326,$BK$29:$BN$39,3), 1=1, "Normal"))</f>
        <v/>
      </c>
      <c r="H323" t="str">
        <f t="shared" ca="1" si="69"/>
        <v/>
      </c>
      <c r="I323" t="str">
        <f t="shared" ca="1" si="70"/>
        <v/>
      </c>
      <c r="K323" t="str" cm="1">
        <f t="array" aca="1" ref="K323" ca="1">IF(L323="","",(_xlfn.IFS(L323&gt;=15000,VLOOKUP(AW326,$BE$5:$BH$15,4),L323&gt;=4000,VLOOKUP(AW326,$BE$5:$BH$15,3),L323&gt;=100,VLOOKUP(AW326,$BE$5:$BH$15,2))))</f>
        <v/>
      </c>
      <c r="L323" t="str">
        <f t="shared" ca="1" si="71"/>
        <v/>
      </c>
      <c r="AF323" s="1">
        <f t="shared" ca="1" si="75"/>
        <v>7</v>
      </c>
      <c r="AG323" s="1">
        <f t="shared" ca="1" si="75"/>
        <v>8</v>
      </c>
      <c r="AH323" s="1"/>
      <c r="AI323" s="1">
        <f t="shared" ca="1" si="73"/>
        <v>2</v>
      </c>
      <c r="AJ323" s="1">
        <f t="shared" ca="1" si="74"/>
        <v>4</v>
      </c>
      <c r="AO323" s="1">
        <f t="shared" ca="1" si="76"/>
        <v>89</v>
      </c>
      <c r="AP323" s="1">
        <f t="shared" ca="1" si="77"/>
        <v>-247</v>
      </c>
      <c r="AS323" s="1">
        <f t="shared" ca="1" si="78"/>
        <v>86</v>
      </c>
      <c r="AV323" s="1">
        <f t="shared" ca="1" si="79"/>
        <v>-304</v>
      </c>
      <c r="AW323" s="1">
        <f t="shared" ca="1" si="80"/>
        <v>9</v>
      </c>
    </row>
    <row r="324" spans="4:49" x14ac:dyDescent="0.3">
      <c r="D324" t="str">
        <f t="shared" ca="1" si="72"/>
        <v/>
      </c>
      <c r="E324" t="str" cm="1">
        <f t="array" aca="1" ref="E324" ca="1">_xlfn.IFS(D324="","",D324="Starstone", VLOOKUP($BK$4,$BK$6:$BM$11,3)*AI327*AJ327, D324 = "Tristal", VLOOKUP($BK$14,$BK$16:$BM$24,3)*AI327*AJ327, 1=1, VLOOKUP(AO327,$AX$75:$AZ$174,3)*AI327*AJ327)</f>
        <v/>
      </c>
      <c r="F324" t="str" cm="1">
        <f t="array" aca="1" ref="F324" ca="1">IF(D324="","",_xlfn.IFS(AH327&gt;5,"Normal",AND(AH327&lt;=5,$BK$28&lt;=4),VLOOKUP(AF327,$BK$29:$BN$39,2),AND(AH327&lt;=5,$BK$28&gt;=9),VLOOKUP(AF327,$BK$29:$BN$39,2), 1=1, "Normal"))</f>
        <v/>
      </c>
      <c r="G324" t="str" cm="1">
        <f t="array" aca="1" ref="G324" ca="1">IF(D324="","",_xlfn.IFS(AH327&gt;5, "Normal", AND(AH327&lt;=5, $BL$28&lt;=8, $BL$28&gt;=5), VLOOKUP(AG327,$BK$29:$BN$39,3), AND(AH327&lt;=5,$BK$28&gt;=9), VLOOKUP(AG327,$BK$29:$BN$39,3), 1=1, "Normal"))</f>
        <v/>
      </c>
      <c r="H324" t="str">
        <f t="shared" ca="1" si="69"/>
        <v/>
      </c>
      <c r="I324" t="str">
        <f t="shared" ca="1" si="70"/>
        <v/>
      </c>
      <c r="K324" t="str" cm="1">
        <f t="array" aca="1" ref="K324" ca="1">IF(L324="","",(_xlfn.IFS(L324&gt;=15000,VLOOKUP(AW327,$BE$5:$BH$15,4),L324&gt;=4000,VLOOKUP(AW327,$BE$5:$BH$15,3),L324&gt;=100,VLOOKUP(AW327,$BE$5:$BH$15,2))))</f>
        <v/>
      </c>
      <c r="L324" t="str">
        <f t="shared" ca="1" si="71"/>
        <v/>
      </c>
      <c r="AF324" s="1">
        <f t="shared" ca="1" si="75"/>
        <v>5</v>
      </c>
      <c r="AG324" s="1">
        <f t="shared" ca="1" si="75"/>
        <v>5</v>
      </c>
      <c r="AH324" s="1"/>
      <c r="AI324" s="1">
        <f t="shared" ca="1" si="73"/>
        <v>0.5</v>
      </c>
      <c r="AJ324" s="1">
        <f t="shared" ca="1" si="74"/>
        <v>0.5</v>
      </c>
      <c r="AO324" s="1">
        <f t="shared" ca="1" si="76"/>
        <v>6</v>
      </c>
      <c r="AP324" s="1">
        <f t="shared" ca="1" si="77"/>
        <v>-248</v>
      </c>
      <c r="AS324" s="1">
        <f t="shared" ca="1" si="78"/>
        <v>89</v>
      </c>
      <c r="AV324" s="1">
        <f t="shared" ca="1" si="79"/>
        <v>-305</v>
      </c>
      <c r="AW324" s="1">
        <f t="shared" ca="1" si="80"/>
        <v>3</v>
      </c>
    </row>
    <row r="325" spans="4:49" x14ac:dyDescent="0.3">
      <c r="D325" t="str">
        <f t="shared" ca="1" si="72"/>
        <v/>
      </c>
      <c r="E325" t="str" cm="1">
        <f t="array" aca="1" ref="E325" ca="1">_xlfn.IFS(D325="","",D325="Starstone", VLOOKUP($BK$4,$BK$6:$BM$11,3)*AI328*AJ328, D325 = "Tristal", VLOOKUP($BK$14,$BK$16:$BM$24,3)*AI328*AJ328, 1=1, VLOOKUP(AO328,$AX$75:$AZ$174,3)*AI328*AJ328)</f>
        <v/>
      </c>
      <c r="F325" t="str" cm="1">
        <f t="array" aca="1" ref="F325" ca="1">IF(D325="","",_xlfn.IFS(AH328&gt;5,"Normal",AND(AH328&lt;=5,$BK$28&lt;=4),VLOOKUP(AF328,$BK$29:$BN$39,2),AND(AH328&lt;=5,$BK$28&gt;=9),VLOOKUP(AF328,$BK$29:$BN$39,2), 1=1, "Normal"))</f>
        <v/>
      </c>
      <c r="G325" t="str" cm="1">
        <f t="array" aca="1" ref="G325" ca="1">IF(D325="","",_xlfn.IFS(AH328&gt;5, "Normal", AND(AH328&lt;=5, $BL$28&lt;=8, $BL$28&gt;=5), VLOOKUP(AG328,$BK$29:$BN$39,3), AND(AH328&lt;=5,$BK$28&gt;=9), VLOOKUP(AG328,$BK$29:$BN$39,3), 1=1, "Normal"))</f>
        <v/>
      </c>
      <c r="H325" t="str">
        <f t="shared" ca="1" si="69"/>
        <v/>
      </c>
      <c r="I325" t="str">
        <f t="shared" ca="1" si="70"/>
        <v/>
      </c>
      <c r="K325" t="str" cm="1">
        <f t="array" aca="1" ref="K325" ca="1">IF(L325="","",(_xlfn.IFS(L325&gt;=15000,VLOOKUP(AW328,$BE$5:$BH$15,4),L325&gt;=4000,VLOOKUP(AW328,$BE$5:$BH$15,3),L325&gt;=100,VLOOKUP(AW328,$BE$5:$BH$15,2))))</f>
        <v/>
      </c>
      <c r="L325" t="str">
        <f t="shared" ca="1" si="71"/>
        <v/>
      </c>
      <c r="AF325" s="1">
        <f t="shared" ca="1" si="75"/>
        <v>10</v>
      </c>
      <c r="AG325" s="1">
        <f t="shared" ca="1" si="75"/>
        <v>3</v>
      </c>
      <c r="AH325" s="1"/>
      <c r="AI325" s="1">
        <f t="shared" ca="1" si="73"/>
        <v>8</v>
      </c>
      <c r="AJ325" s="1">
        <f t="shared" ca="1" si="74"/>
        <v>0.25</v>
      </c>
      <c r="AO325" s="1">
        <f t="shared" ca="1" si="76"/>
        <v>8</v>
      </c>
      <c r="AP325" s="1">
        <f t="shared" ca="1" si="77"/>
        <v>-249</v>
      </c>
      <c r="AS325" s="1">
        <f t="shared" ca="1" si="78"/>
        <v>75</v>
      </c>
      <c r="AV325" s="1">
        <f t="shared" ca="1" si="79"/>
        <v>-306</v>
      </c>
      <c r="AW325" s="1">
        <f t="shared" ca="1" si="80"/>
        <v>9</v>
      </c>
    </row>
    <row r="326" spans="4:49" x14ac:dyDescent="0.3">
      <c r="D326" t="str">
        <f t="shared" ca="1" si="72"/>
        <v/>
      </c>
      <c r="E326" t="str" cm="1">
        <f t="array" aca="1" ref="E326" ca="1">_xlfn.IFS(D326="","",D326="Starstone", VLOOKUP($BK$4,$BK$6:$BM$11,3)*AI329*AJ329, D326 = "Tristal", VLOOKUP($BK$14,$BK$16:$BM$24,3)*AI329*AJ329, 1=1, VLOOKUP(AO329,$AX$75:$AZ$174,3)*AI329*AJ329)</f>
        <v/>
      </c>
      <c r="F326" t="str" cm="1">
        <f t="array" aca="1" ref="F326" ca="1">IF(D326="","",_xlfn.IFS(AH329&gt;5,"Normal",AND(AH329&lt;=5,$BK$28&lt;=4),VLOOKUP(AF329,$BK$29:$BN$39,2),AND(AH329&lt;=5,$BK$28&gt;=9),VLOOKUP(AF329,$BK$29:$BN$39,2), 1=1, "Normal"))</f>
        <v/>
      </c>
      <c r="G326" t="str" cm="1">
        <f t="array" aca="1" ref="G326" ca="1">IF(D326="","",_xlfn.IFS(AH329&gt;5, "Normal", AND(AH329&lt;=5, $BL$28&lt;=8, $BL$28&gt;=5), VLOOKUP(AG329,$BK$29:$BN$39,3), AND(AH329&lt;=5,$BK$28&gt;=9), VLOOKUP(AG329,$BK$29:$BN$39,3), 1=1, "Normal"))</f>
        <v/>
      </c>
      <c r="H326" t="str">
        <f t="shared" ca="1" si="69"/>
        <v/>
      </c>
      <c r="I326" t="str">
        <f t="shared" ca="1" si="70"/>
        <v/>
      </c>
      <c r="K326" t="str" cm="1">
        <f t="array" aca="1" ref="K326" ca="1">IF(L326="","",(_xlfn.IFS(L326&gt;=15000,VLOOKUP(AW329,$BE$5:$BH$15,4),L326&gt;=4000,VLOOKUP(AW329,$BE$5:$BH$15,3),L326&gt;=100,VLOOKUP(AW329,$BE$5:$BH$15,2))))</f>
        <v/>
      </c>
      <c r="L326" t="str">
        <f t="shared" ca="1" si="71"/>
        <v/>
      </c>
      <c r="AF326" s="1">
        <f t="shared" ca="1" si="75"/>
        <v>5</v>
      </c>
      <c r="AG326" s="1">
        <f t="shared" ca="1" si="75"/>
        <v>7</v>
      </c>
      <c r="AH326" s="1"/>
      <c r="AI326" s="1">
        <f t="shared" ca="1" si="73"/>
        <v>0.5</v>
      </c>
      <c r="AJ326" s="1">
        <f t="shared" ca="1" si="74"/>
        <v>2</v>
      </c>
      <c r="AO326" s="1">
        <f t="shared" ca="1" si="76"/>
        <v>20</v>
      </c>
      <c r="AP326" s="1">
        <f t="shared" ca="1" si="77"/>
        <v>-250</v>
      </c>
      <c r="AS326" s="1">
        <f t="shared" ca="1" si="78"/>
        <v>19</v>
      </c>
      <c r="AV326" s="1">
        <f t="shared" ca="1" si="79"/>
        <v>-307</v>
      </c>
      <c r="AW326" s="1">
        <f t="shared" ca="1" si="80"/>
        <v>1</v>
      </c>
    </row>
    <row r="327" spans="4:49" x14ac:dyDescent="0.3">
      <c r="D327" t="str">
        <f t="shared" ca="1" si="72"/>
        <v/>
      </c>
      <c r="E327" t="str" cm="1">
        <f t="array" aca="1" ref="E327" ca="1">_xlfn.IFS(D327="","",D327="Starstone", VLOOKUP($BK$4,$BK$6:$BM$11,3)*AI330*AJ330, D327 = "Tristal", VLOOKUP($BK$14,$BK$16:$BM$24,3)*AI330*AJ330, 1=1, VLOOKUP(AO330,$AX$75:$AZ$174,3)*AI330*AJ330)</f>
        <v/>
      </c>
      <c r="F327" t="str" cm="1">
        <f t="array" aca="1" ref="F327" ca="1">IF(D327="","",_xlfn.IFS(AH330&gt;5,"Normal",AND(AH330&lt;=5,$BK$28&lt;=4),VLOOKUP(AF330,$BK$29:$BN$39,2),AND(AH330&lt;=5,$BK$28&gt;=9),VLOOKUP(AF330,$BK$29:$BN$39,2), 1=1, "Normal"))</f>
        <v/>
      </c>
      <c r="G327" t="str" cm="1">
        <f t="array" aca="1" ref="G327" ca="1">IF(D327="","",_xlfn.IFS(AH330&gt;5, "Normal", AND(AH330&lt;=5, $BL$28&lt;=8, $BL$28&gt;=5), VLOOKUP(AG330,$BK$29:$BN$39,3), AND(AH330&lt;=5,$BK$28&gt;=9), VLOOKUP(AG330,$BK$29:$BN$39,3), 1=1, "Normal"))</f>
        <v/>
      </c>
      <c r="H327" t="str">
        <f t="shared" ref="H327:H357" ca="1" si="81">IF(D327 = "Tristal", VLOOKUP($BK$14,$BK$16:$BM$24,2), "")</f>
        <v/>
      </c>
      <c r="I327" t="str">
        <f t="shared" ref="I327:I357" ca="1" si="82">IF(D327="Starstone", VLOOKUP($BK$4,$BK$6:$BM$11,2), "")</f>
        <v/>
      </c>
      <c r="K327" t="str" cm="1">
        <f t="array" aca="1" ref="K327" ca="1">IF(L327="","",(_xlfn.IFS(L327&gt;=15000,VLOOKUP(AW330,$BE$5:$BH$15,4),L327&gt;=4000,VLOOKUP(AW330,$BE$5:$BH$15,3),L327&gt;=100,VLOOKUP(AW330,$BE$5:$BH$15,2))))</f>
        <v/>
      </c>
      <c r="L327" t="str">
        <f t="shared" ref="L327:L357" ca="1" si="83">IF(AV329&gt;0,VLOOKUP(AS330,$AX$177:$AY$276,2),"")</f>
        <v/>
      </c>
      <c r="AF327" s="1">
        <f t="shared" ca="1" si="75"/>
        <v>5</v>
      </c>
      <c r="AG327" s="1">
        <f t="shared" ca="1" si="75"/>
        <v>6</v>
      </c>
      <c r="AH327" s="1"/>
      <c r="AI327" s="1">
        <f t="shared" ca="1" si="73"/>
        <v>0.5</v>
      </c>
      <c r="AJ327" s="1">
        <f t="shared" ca="1" si="74"/>
        <v>2</v>
      </c>
      <c r="AO327" s="1">
        <f t="shared" ca="1" si="76"/>
        <v>18</v>
      </c>
      <c r="AP327" s="1">
        <f t="shared" ca="1" si="77"/>
        <v>-251</v>
      </c>
      <c r="AS327" s="1">
        <f t="shared" ca="1" si="78"/>
        <v>77</v>
      </c>
      <c r="AV327" s="1">
        <f t="shared" ca="1" si="79"/>
        <v>-308</v>
      </c>
      <c r="AW327" s="1">
        <f t="shared" ca="1" si="80"/>
        <v>1</v>
      </c>
    </row>
    <row r="328" spans="4:49" x14ac:dyDescent="0.3">
      <c r="D328" t="str">
        <f t="shared" ref="D328:D357" ca="1" si="84">IF(AP331&gt;-1,VLOOKUP(AO331,$AX$75:$AZ$174,2),"")</f>
        <v/>
      </c>
      <c r="E328" t="str" cm="1">
        <f t="array" aca="1" ref="E328" ca="1">_xlfn.IFS(D328="","",D328="Starstone", VLOOKUP($BK$4,$BK$6:$BM$11,3)*AI331*AJ331, D328 = "Tristal", VLOOKUP($BK$14,$BK$16:$BM$24,3)*AI331*AJ331, 1=1, VLOOKUP(AO331,$AX$75:$AZ$174,3)*AI331*AJ331)</f>
        <v/>
      </c>
      <c r="F328" t="str" cm="1">
        <f t="array" aca="1" ref="F328" ca="1">IF(D328="","",_xlfn.IFS(AH331&gt;5,"Normal",AND(AH331&lt;=5,$BK$28&lt;=4),VLOOKUP(AF331,$BK$29:$BN$39,2),AND(AH331&lt;=5,$BK$28&gt;=9),VLOOKUP(AF331,$BK$29:$BN$39,2), 1=1, "Normal"))</f>
        <v/>
      </c>
      <c r="G328" t="str" cm="1">
        <f t="array" aca="1" ref="G328" ca="1">IF(D328="","",_xlfn.IFS(AH331&gt;5, "Normal", AND(AH331&lt;=5, $BL$28&lt;=8, $BL$28&gt;=5), VLOOKUP(AG331,$BK$29:$BN$39,3), AND(AH331&lt;=5,$BK$28&gt;=9), VLOOKUP(AG331,$BK$29:$BN$39,3), 1=1, "Normal"))</f>
        <v/>
      </c>
      <c r="H328" t="str">
        <f t="shared" ca="1" si="81"/>
        <v/>
      </c>
      <c r="I328" t="str">
        <f t="shared" ca="1" si="82"/>
        <v/>
      </c>
      <c r="K328" t="str" cm="1">
        <f t="array" aca="1" ref="K328" ca="1">IF(L328="","",(_xlfn.IFS(L328&gt;=15000,VLOOKUP(AW331,$BE$5:$BH$15,4),L328&gt;=4000,VLOOKUP(AW331,$BE$5:$BH$15,3),L328&gt;=100,VLOOKUP(AW331,$BE$5:$BH$15,2))))</f>
        <v/>
      </c>
      <c r="L328" t="str">
        <f t="shared" ca="1" si="83"/>
        <v/>
      </c>
      <c r="AF328" s="1">
        <f t="shared" ca="1" si="75"/>
        <v>1</v>
      </c>
      <c r="AG328" s="1">
        <f t="shared" ca="1" si="75"/>
        <v>8</v>
      </c>
      <c r="AH328" s="1"/>
      <c r="AI328" s="1">
        <f t="shared" ca="1" si="73"/>
        <v>0.125</v>
      </c>
      <c r="AJ328" s="1">
        <f t="shared" ca="1" si="74"/>
        <v>4</v>
      </c>
      <c r="AO328" s="1">
        <f t="shared" ca="1" si="76"/>
        <v>4</v>
      </c>
      <c r="AP328" s="1">
        <f t="shared" ca="1" si="77"/>
        <v>-252</v>
      </c>
      <c r="AS328" s="1">
        <f t="shared" ca="1" si="78"/>
        <v>18</v>
      </c>
      <c r="AV328" s="1">
        <f t="shared" ca="1" si="79"/>
        <v>-309</v>
      </c>
      <c r="AW328" s="1">
        <f t="shared" ca="1" si="80"/>
        <v>10</v>
      </c>
    </row>
    <row r="329" spans="4:49" x14ac:dyDescent="0.3">
      <c r="D329" t="str">
        <f t="shared" ca="1" si="84"/>
        <v/>
      </c>
      <c r="E329" t="str" cm="1">
        <f t="array" aca="1" ref="E329" ca="1">_xlfn.IFS(D329="","",D329="Starstone", VLOOKUP($BK$4,$BK$6:$BM$11,3)*AI332*AJ332, D329 = "Tristal", VLOOKUP($BK$14,$BK$16:$BM$24,3)*AI332*AJ332, 1=1, VLOOKUP(AO332,$AX$75:$AZ$174,3)*AI332*AJ332)</f>
        <v/>
      </c>
      <c r="F329" t="str" cm="1">
        <f t="array" aca="1" ref="F329" ca="1">IF(D329="","",_xlfn.IFS(AH332&gt;5,"Normal",AND(AH332&lt;=5,$BK$28&lt;=4),VLOOKUP(AF332,$BK$29:$BN$39,2),AND(AH332&lt;=5,$BK$28&gt;=9),VLOOKUP(AF332,$BK$29:$BN$39,2), 1=1, "Normal"))</f>
        <v/>
      </c>
      <c r="G329" t="str" cm="1">
        <f t="array" aca="1" ref="G329" ca="1">IF(D329="","",_xlfn.IFS(AH332&gt;5, "Normal", AND(AH332&lt;=5, $BL$28&lt;=8, $BL$28&gt;=5), VLOOKUP(AG332,$BK$29:$BN$39,3), AND(AH332&lt;=5,$BK$28&gt;=9), VLOOKUP(AG332,$BK$29:$BN$39,3), 1=1, "Normal"))</f>
        <v/>
      </c>
      <c r="H329" t="str">
        <f t="shared" ca="1" si="81"/>
        <v/>
      </c>
      <c r="I329" t="str">
        <f t="shared" ca="1" si="82"/>
        <v/>
      </c>
      <c r="K329" t="str" cm="1">
        <f t="array" aca="1" ref="K329" ca="1">IF(L329="","",(_xlfn.IFS(L329&gt;=15000,VLOOKUP(AW332,$BE$5:$BH$15,4),L329&gt;=4000,VLOOKUP(AW332,$BE$5:$BH$15,3),L329&gt;=100,VLOOKUP(AW332,$BE$5:$BH$15,2))))</f>
        <v/>
      </c>
      <c r="L329" t="str">
        <f t="shared" ca="1" si="83"/>
        <v/>
      </c>
      <c r="AF329" s="1">
        <f t="shared" ca="1" si="75"/>
        <v>10</v>
      </c>
      <c r="AG329" s="1">
        <f t="shared" ca="1" si="75"/>
        <v>1</v>
      </c>
      <c r="AH329" s="1"/>
      <c r="AI329" s="1">
        <f t="shared" ca="1" si="73"/>
        <v>8</v>
      </c>
      <c r="AJ329" s="1">
        <f t="shared" ca="1" si="74"/>
        <v>0.125</v>
      </c>
      <c r="AO329" s="1">
        <f t="shared" ca="1" si="76"/>
        <v>7</v>
      </c>
      <c r="AP329" s="1">
        <f t="shared" ca="1" si="77"/>
        <v>-253</v>
      </c>
      <c r="AS329" s="1">
        <f t="shared" ca="1" si="78"/>
        <v>75</v>
      </c>
      <c r="AV329" s="1">
        <f t="shared" ca="1" si="79"/>
        <v>-310</v>
      </c>
      <c r="AW329" s="1">
        <f t="shared" ca="1" si="80"/>
        <v>4</v>
      </c>
    </row>
    <row r="330" spans="4:49" x14ac:dyDescent="0.3">
      <c r="D330" t="str">
        <f t="shared" ca="1" si="84"/>
        <v/>
      </c>
      <c r="E330" t="str" cm="1">
        <f t="array" aca="1" ref="E330" ca="1">_xlfn.IFS(D330="","",D330="Starstone", VLOOKUP($BK$4,$BK$6:$BM$11,3)*AI333*AJ333, D330 = "Tristal", VLOOKUP($BK$14,$BK$16:$BM$24,3)*AI333*AJ333, 1=1, VLOOKUP(AO333,$AX$75:$AZ$174,3)*AI333*AJ333)</f>
        <v/>
      </c>
      <c r="F330" t="str" cm="1">
        <f t="array" aca="1" ref="F330" ca="1">IF(D330="","",_xlfn.IFS(AH333&gt;5,"Normal",AND(AH333&lt;=5,$BK$28&lt;=4),VLOOKUP(AF333,$BK$29:$BN$39,2),AND(AH333&lt;=5,$BK$28&gt;=9),VLOOKUP(AF333,$BK$29:$BN$39,2), 1=1, "Normal"))</f>
        <v/>
      </c>
      <c r="G330" t="str" cm="1">
        <f t="array" aca="1" ref="G330" ca="1">IF(D330="","",_xlfn.IFS(AH333&gt;5, "Normal", AND(AH333&lt;=5, $BL$28&lt;=8, $BL$28&gt;=5), VLOOKUP(AG333,$BK$29:$BN$39,3), AND(AH333&lt;=5,$BK$28&gt;=9), VLOOKUP(AG333,$BK$29:$BN$39,3), 1=1, "Normal"))</f>
        <v/>
      </c>
      <c r="H330" t="str">
        <f t="shared" ca="1" si="81"/>
        <v/>
      </c>
      <c r="I330" t="str">
        <f t="shared" ca="1" si="82"/>
        <v/>
      </c>
      <c r="K330" t="str" cm="1">
        <f t="array" aca="1" ref="K330" ca="1">IF(L330="","",(_xlfn.IFS(L330&gt;=15000,VLOOKUP(AW333,$BE$5:$BH$15,4),L330&gt;=4000,VLOOKUP(AW333,$BE$5:$BH$15,3),L330&gt;=100,VLOOKUP(AW333,$BE$5:$BH$15,2))))</f>
        <v/>
      </c>
      <c r="L330" t="str">
        <f t="shared" ca="1" si="83"/>
        <v/>
      </c>
      <c r="AF330" s="1">
        <f t="shared" ca="1" si="75"/>
        <v>5</v>
      </c>
      <c r="AG330" s="1">
        <f t="shared" ca="1" si="75"/>
        <v>4</v>
      </c>
      <c r="AH330" s="1"/>
      <c r="AI330" s="1">
        <f t="shared" ref="AI330:AI360" ca="1" si="85">IF(F327="Normal",1,VLOOKUP(AF330,$BK$29:$BN$39,4))</f>
        <v>0.5</v>
      </c>
      <c r="AJ330" s="1">
        <f t="shared" ref="AJ330:AJ360" ca="1" si="86">IF(G327="Normal",1,VLOOKUP(AG330,$BK$29:$BN$39,4))</f>
        <v>0.5</v>
      </c>
      <c r="AO330" s="1">
        <f t="shared" ca="1" si="76"/>
        <v>15</v>
      </c>
      <c r="AP330" s="1">
        <f t="shared" ca="1" si="77"/>
        <v>-254</v>
      </c>
      <c r="AS330" s="1">
        <f t="shared" ca="1" si="78"/>
        <v>3</v>
      </c>
      <c r="AV330" s="1">
        <f t="shared" ca="1" si="79"/>
        <v>-311</v>
      </c>
      <c r="AW330" s="1">
        <f t="shared" ca="1" si="80"/>
        <v>5</v>
      </c>
    </row>
    <row r="331" spans="4:49" x14ac:dyDescent="0.3">
      <c r="D331" t="str">
        <f t="shared" ca="1" si="84"/>
        <v/>
      </c>
      <c r="E331" t="str" cm="1">
        <f t="array" aca="1" ref="E331" ca="1">_xlfn.IFS(D331="","",D331="Starstone", VLOOKUP($BK$4,$BK$6:$BM$11,3)*AI334*AJ334, D331 = "Tristal", VLOOKUP($BK$14,$BK$16:$BM$24,3)*AI334*AJ334, 1=1, VLOOKUP(AO334,$AX$75:$AZ$174,3)*AI334*AJ334)</f>
        <v/>
      </c>
      <c r="F331" t="str" cm="1">
        <f t="array" aca="1" ref="F331" ca="1">IF(D331="","",_xlfn.IFS(AH334&gt;5,"Normal",AND(AH334&lt;=5,$BK$28&lt;=4),VLOOKUP(AF334,$BK$29:$BN$39,2),AND(AH334&lt;=5,$BK$28&gt;=9),VLOOKUP(AF334,$BK$29:$BN$39,2), 1=1, "Normal"))</f>
        <v/>
      </c>
      <c r="G331" t="str" cm="1">
        <f t="array" aca="1" ref="G331" ca="1">IF(D331="","",_xlfn.IFS(AH334&gt;5, "Normal", AND(AH334&lt;=5, $BL$28&lt;=8, $BL$28&gt;=5), VLOOKUP(AG334,$BK$29:$BN$39,3), AND(AH334&lt;=5,$BK$28&gt;=9), VLOOKUP(AG334,$BK$29:$BN$39,3), 1=1, "Normal"))</f>
        <v/>
      </c>
      <c r="H331" t="str">
        <f t="shared" ca="1" si="81"/>
        <v/>
      </c>
      <c r="I331" t="str">
        <f t="shared" ca="1" si="82"/>
        <v/>
      </c>
      <c r="K331" t="str" cm="1">
        <f t="array" aca="1" ref="K331" ca="1">IF(L331="","",(_xlfn.IFS(L331&gt;=15000,VLOOKUP(AW334,$BE$5:$BH$15,4),L331&gt;=4000,VLOOKUP(AW334,$BE$5:$BH$15,3),L331&gt;=100,VLOOKUP(AW334,$BE$5:$BH$15,2))))</f>
        <v/>
      </c>
      <c r="L331" t="str">
        <f t="shared" ca="1" si="83"/>
        <v/>
      </c>
      <c r="AF331" s="1">
        <f t="shared" ref="AF331:AG360" ca="1" si="87">RANDBETWEEN(1,10)</f>
        <v>3</v>
      </c>
      <c r="AG331" s="1">
        <f t="shared" ca="1" si="87"/>
        <v>3</v>
      </c>
      <c r="AH331" s="1"/>
      <c r="AI331" s="1">
        <f t="shared" ca="1" si="85"/>
        <v>0.25</v>
      </c>
      <c r="AJ331" s="1">
        <f t="shared" ca="1" si="86"/>
        <v>0.25</v>
      </c>
      <c r="AO331" s="1">
        <f t="shared" ref="AO331:AO360" ca="1" si="88">RANDBETWEEN(1,100)</f>
        <v>98</v>
      </c>
      <c r="AP331" s="1">
        <f t="shared" ref="AP331:AP360" ca="1" si="89">AP330-1</f>
        <v>-255</v>
      </c>
      <c r="AS331" s="1">
        <f t="shared" ref="AS331:AS360" ca="1" si="90">RANDBETWEEN(1,100)</f>
        <v>60</v>
      </c>
      <c r="AV331" s="1">
        <f t="shared" ref="AV331:AV354" ca="1" si="91">AV330-1</f>
        <v>-312</v>
      </c>
      <c r="AW331" s="1">
        <f t="shared" ref="AW331:AW360" ca="1" si="92">RANDBETWEEN(1,10)</f>
        <v>10</v>
      </c>
    </row>
    <row r="332" spans="4:49" x14ac:dyDescent="0.3">
      <c r="D332" t="str">
        <f t="shared" ca="1" si="84"/>
        <v/>
      </c>
      <c r="E332" t="str" cm="1">
        <f t="array" aca="1" ref="E332" ca="1">_xlfn.IFS(D332="","",D332="Starstone", VLOOKUP($BK$4,$BK$6:$BM$11,3)*AI335*AJ335, D332 = "Tristal", VLOOKUP($BK$14,$BK$16:$BM$24,3)*AI335*AJ335, 1=1, VLOOKUP(AO335,$AX$75:$AZ$174,3)*AI335*AJ335)</f>
        <v/>
      </c>
      <c r="F332" t="str" cm="1">
        <f t="array" aca="1" ref="F332" ca="1">IF(D332="","",_xlfn.IFS(AH335&gt;5,"Normal",AND(AH335&lt;=5,$BK$28&lt;=4),VLOOKUP(AF335,$BK$29:$BN$39,2),AND(AH335&lt;=5,$BK$28&gt;=9),VLOOKUP(AF335,$BK$29:$BN$39,2), 1=1, "Normal"))</f>
        <v/>
      </c>
      <c r="G332" t="str" cm="1">
        <f t="array" aca="1" ref="G332" ca="1">IF(D332="","",_xlfn.IFS(AH335&gt;5, "Normal", AND(AH335&lt;=5, $BL$28&lt;=8, $BL$28&gt;=5), VLOOKUP(AG335,$BK$29:$BN$39,3), AND(AH335&lt;=5,$BK$28&gt;=9), VLOOKUP(AG335,$BK$29:$BN$39,3), 1=1, "Normal"))</f>
        <v/>
      </c>
      <c r="H332" t="str">
        <f t="shared" ca="1" si="81"/>
        <v/>
      </c>
      <c r="I332" t="str">
        <f t="shared" ca="1" si="82"/>
        <v/>
      </c>
      <c r="K332" t="str" cm="1">
        <f t="array" aca="1" ref="K332" ca="1">IF(L332="","",(_xlfn.IFS(L332&gt;=15000,VLOOKUP(AW335,$BE$5:$BH$15,4),L332&gt;=4000,VLOOKUP(AW335,$BE$5:$BH$15,3),L332&gt;=100,VLOOKUP(AW335,$BE$5:$BH$15,2))))</f>
        <v/>
      </c>
      <c r="L332" t="str">
        <f t="shared" ca="1" si="83"/>
        <v/>
      </c>
      <c r="AF332" s="1">
        <f t="shared" ca="1" si="87"/>
        <v>7</v>
      </c>
      <c r="AG332" s="1">
        <f t="shared" ca="1" si="87"/>
        <v>6</v>
      </c>
      <c r="AH332" s="1"/>
      <c r="AI332" s="1">
        <f t="shared" ca="1" si="85"/>
        <v>2</v>
      </c>
      <c r="AJ332" s="1">
        <f t="shared" ca="1" si="86"/>
        <v>2</v>
      </c>
      <c r="AO332" s="1">
        <f t="shared" ca="1" si="88"/>
        <v>14</v>
      </c>
      <c r="AP332" s="1">
        <f t="shared" ca="1" si="89"/>
        <v>-256</v>
      </c>
      <c r="AS332" s="1">
        <f t="shared" ca="1" si="90"/>
        <v>3</v>
      </c>
      <c r="AV332" s="1">
        <f t="shared" ca="1" si="91"/>
        <v>-313</v>
      </c>
      <c r="AW332" s="1">
        <f t="shared" ca="1" si="92"/>
        <v>3</v>
      </c>
    </row>
    <row r="333" spans="4:49" x14ac:dyDescent="0.3">
      <c r="D333" t="str">
        <f t="shared" ca="1" si="84"/>
        <v/>
      </c>
      <c r="E333" t="str" cm="1">
        <f t="array" aca="1" ref="E333" ca="1">_xlfn.IFS(D333="","",D333="Starstone", VLOOKUP($BK$4,$BK$6:$BM$11,3)*AI336*AJ336, D333 = "Tristal", VLOOKUP($BK$14,$BK$16:$BM$24,3)*AI336*AJ336, 1=1, VLOOKUP(AO336,$AX$75:$AZ$174,3)*AI336*AJ336)</f>
        <v/>
      </c>
      <c r="F333" t="str" cm="1">
        <f t="array" aca="1" ref="F333" ca="1">IF(D333="","",_xlfn.IFS(AH336&gt;5,"Normal",AND(AH336&lt;=5,$BK$28&lt;=4),VLOOKUP(AF336,$BK$29:$BN$39,2),AND(AH336&lt;=5,$BK$28&gt;=9),VLOOKUP(AF336,$BK$29:$BN$39,2), 1=1, "Normal"))</f>
        <v/>
      </c>
      <c r="G333" t="str" cm="1">
        <f t="array" aca="1" ref="G333" ca="1">IF(D333="","",_xlfn.IFS(AH336&gt;5, "Normal", AND(AH336&lt;=5, $BL$28&lt;=8, $BL$28&gt;=5), VLOOKUP(AG336,$BK$29:$BN$39,3), AND(AH336&lt;=5,$BK$28&gt;=9), VLOOKUP(AG336,$BK$29:$BN$39,3), 1=1, "Normal"))</f>
        <v/>
      </c>
      <c r="H333" t="str">
        <f t="shared" ca="1" si="81"/>
        <v/>
      </c>
      <c r="I333" t="str">
        <f t="shared" ca="1" si="82"/>
        <v/>
      </c>
      <c r="K333" t="str" cm="1">
        <f t="array" aca="1" ref="K333" ca="1">IF(L333="","",(_xlfn.IFS(L333&gt;=15000,VLOOKUP(AW336,$BE$5:$BH$15,4),L333&gt;=4000,VLOOKUP(AW336,$BE$5:$BH$15,3),L333&gt;=100,VLOOKUP(AW336,$BE$5:$BH$15,2))))</f>
        <v/>
      </c>
      <c r="L333" t="str">
        <f t="shared" ca="1" si="83"/>
        <v/>
      </c>
      <c r="AF333" s="1">
        <f t="shared" ca="1" si="87"/>
        <v>6</v>
      </c>
      <c r="AG333" s="1">
        <f t="shared" ca="1" si="87"/>
        <v>1</v>
      </c>
      <c r="AH333" s="1"/>
      <c r="AI333" s="1">
        <f t="shared" ca="1" si="85"/>
        <v>2</v>
      </c>
      <c r="AJ333" s="1">
        <f t="shared" ca="1" si="86"/>
        <v>0.125</v>
      </c>
      <c r="AO333" s="1">
        <f t="shared" ca="1" si="88"/>
        <v>78</v>
      </c>
      <c r="AP333" s="1">
        <f t="shared" ca="1" si="89"/>
        <v>-257</v>
      </c>
      <c r="AS333" s="1">
        <f t="shared" ca="1" si="90"/>
        <v>91</v>
      </c>
      <c r="AV333" s="1">
        <f t="shared" ca="1" si="91"/>
        <v>-314</v>
      </c>
      <c r="AW333" s="1">
        <f t="shared" ca="1" si="92"/>
        <v>6</v>
      </c>
    </row>
    <row r="334" spans="4:49" x14ac:dyDescent="0.3">
      <c r="D334" t="str">
        <f t="shared" ca="1" si="84"/>
        <v/>
      </c>
      <c r="E334" t="str" cm="1">
        <f t="array" aca="1" ref="E334" ca="1">_xlfn.IFS(D334="","",D334="Starstone", VLOOKUP($BK$4,$BK$6:$BM$11,3)*AI337*AJ337, D334 = "Tristal", VLOOKUP($BK$14,$BK$16:$BM$24,3)*AI337*AJ337, 1=1, VLOOKUP(AO337,$AX$75:$AZ$174,3)*AI337*AJ337)</f>
        <v/>
      </c>
      <c r="F334" t="str" cm="1">
        <f t="array" aca="1" ref="F334" ca="1">IF(D334="","",_xlfn.IFS(AH337&gt;5,"Normal",AND(AH337&lt;=5,$BK$28&lt;=4),VLOOKUP(AF337,$BK$29:$BN$39,2),AND(AH337&lt;=5,$BK$28&gt;=9),VLOOKUP(AF337,$BK$29:$BN$39,2), 1=1, "Normal"))</f>
        <v/>
      </c>
      <c r="G334" t="str" cm="1">
        <f t="array" aca="1" ref="G334" ca="1">IF(D334="","",_xlfn.IFS(AH337&gt;5, "Normal", AND(AH337&lt;=5, $BL$28&lt;=8, $BL$28&gt;=5), VLOOKUP(AG337,$BK$29:$BN$39,3), AND(AH337&lt;=5,$BK$28&gt;=9), VLOOKUP(AG337,$BK$29:$BN$39,3), 1=1, "Normal"))</f>
        <v/>
      </c>
      <c r="H334" t="str">
        <f t="shared" ca="1" si="81"/>
        <v/>
      </c>
      <c r="I334" t="str">
        <f t="shared" ca="1" si="82"/>
        <v/>
      </c>
      <c r="K334" t="str" cm="1">
        <f t="array" aca="1" ref="K334" ca="1">IF(L334="","",(_xlfn.IFS(L334&gt;=15000,VLOOKUP(AW337,$BE$5:$BH$15,4),L334&gt;=4000,VLOOKUP(AW337,$BE$5:$BH$15,3),L334&gt;=100,VLOOKUP(AW337,$BE$5:$BH$15,2))))</f>
        <v/>
      </c>
      <c r="L334" t="str">
        <f t="shared" ca="1" si="83"/>
        <v/>
      </c>
      <c r="AF334" s="1">
        <f t="shared" ca="1" si="87"/>
        <v>5</v>
      </c>
      <c r="AG334" s="1">
        <f t="shared" ca="1" si="87"/>
        <v>6</v>
      </c>
      <c r="AH334" s="1"/>
      <c r="AI334" s="1">
        <f t="shared" ca="1" si="85"/>
        <v>0.5</v>
      </c>
      <c r="AJ334" s="1">
        <f t="shared" ca="1" si="86"/>
        <v>2</v>
      </c>
      <c r="AO334" s="1">
        <f t="shared" ca="1" si="88"/>
        <v>21</v>
      </c>
      <c r="AP334" s="1">
        <f t="shared" ca="1" si="89"/>
        <v>-258</v>
      </c>
      <c r="AS334" s="1">
        <f t="shared" ca="1" si="90"/>
        <v>30</v>
      </c>
      <c r="AV334" s="1">
        <f t="shared" ca="1" si="91"/>
        <v>-315</v>
      </c>
      <c r="AW334" s="1">
        <f t="shared" ca="1" si="92"/>
        <v>5</v>
      </c>
    </row>
    <row r="335" spans="4:49" x14ac:dyDescent="0.3">
      <c r="D335" t="str">
        <f t="shared" ca="1" si="84"/>
        <v/>
      </c>
      <c r="E335" t="str" cm="1">
        <f t="array" aca="1" ref="E335" ca="1">_xlfn.IFS(D335="","",D335="Starstone", VLOOKUP($BK$4,$BK$6:$BM$11,3)*AI338*AJ338, D335 = "Tristal", VLOOKUP($BK$14,$BK$16:$BM$24,3)*AI338*AJ338, 1=1, VLOOKUP(AO338,$AX$75:$AZ$174,3)*AI338*AJ338)</f>
        <v/>
      </c>
      <c r="F335" t="str" cm="1">
        <f t="array" aca="1" ref="F335" ca="1">IF(D335="","",_xlfn.IFS(AH338&gt;5,"Normal",AND(AH338&lt;=5,$BK$28&lt;=4),VLOOKUP(AF338,$BK$29:$BN$39,2),AND(AH338&lt;=5,$BK$28&gt;=9),VLOOKUP(AF338,$BK$29:$BN$39,2), 1=1, "Normal"))</f>
        <v/>
      </c>
      <c r="G335" t="str" cm="1">
        <f t="array" aca="1" ref="G335" ca="1">IF(D335="","",_xlfn.IFS(AH338&gt;5, "Normal", AND(AH338&lt;=5, $BL$28&lt;=8, $BL$28&gt;=5), VLOOKUP(AG338,$BK$29:$BN$39,3), AND(AH338&lt;=5,$BK$28&gt;=9), VLOOKUP(AG338,$BK$29:$BN$39,3), 1=1, "Normal"))</f>
        <v/>
      </c>
      <c r="H335" t="str">
        <f t="shared" ca="1" si="81"/>
        <v/>
      </c>
      <c r="I335" t="str">
        <f t="shared" ca="1" si="82"/>
        <v/>
      </c>
      <c r="K335" t="str" cm="1">
        <f t="array" aca="1" ref="K335" ca="1">IF(L335="","",(_xlfn.IFS(L335&gt;=15000,VLOOKUP(AW338,$BE$5:$BH$15,4),L335&gt;=4000,VLOOKUP(AW338,$BE$5:$BH$15,3),L335&gt;=100,VLOOKUP(AW338,$BE$5:$BH$15,2))))</f>
        <v/>
      </c>
      <c r="L335" t="str">
        <f t="shared" ca="1" si="83"/>
        <v/>
      </c>
      <c r="AF335" s="1">
        <f t="shared" ca="1" si="87"/>
        <v>8</v>
      </c>
      <c r="AG335" s="1">
        <f t="shared" ca="1" si="87"/>
        <v>3</v>
      </c>
      <c r="AH335" s="1"/>
      <c r="AI335" s="1">
        <f t="shared" ca="1" si="85"/>
        <v>4</v>
      </c>
      <c r="AJ335" s="1">
        <f t="shared" ca="1" si="86"/>
        <v>0.25</v>
      </c>
      <c r="AO335" s="1">
        <f t="shared" ca="1" si="88"/>
        <v>61</v>
      </c>
      <c r="AP335" s="1">
        <f t="shared" ca="1" si="89"/>
        <v>-259</v>
      </c>
      <c r="AS335" s="1">
        <f t="shared" ca="1" si="90"/>
        <v>44</v>
      </c>
      <c r="AV335" s="1">
        <f t="shared" ca="1" si="91"/>
        <v>-316</v>
      </c>
      <c r="AW335" s="1">
        <f t="shared" ca="1" si="92"/>
        <v>5</v>
      </c>
    </row>
    <row r="336" spans="4:49" x14ac:dyDescent="0.3">
      <c r="D336" t="str">
        <f t="shared" ca="1" si="84"/>
        <v/>
      </c>
      <c r="E336" t="str" cm="1">
        <f t="array" aca="1" ref="E336" ca="1">_xlfn.IFS(D336="","",D336="Starstone", VLOOKUP($BK$4,$BK$6:$BM$11,3)*AI339*AJ339, D336 = "Tristal", VLOOKUP($BK$14,$BK$16:$BM$24,3)*AI339*AJ339, 1=1, VLOOKUP(AO339,$AX$75:$AZ$174,3)*AI339*AJ339)</f>
        <v/>
      </c>
      <c r="F336" t="str" cm="1">
        <f t="array" aca="1" ref="F336" ca="1">IF(D336="","",_xlfn.IFS(AH339&gt;5,"Normal",AND(AH339&lt;=5,$BK$28&lt;=4),VLOOKUP(AF339,$BK$29:$BN$39,2),AND(AH339&lt;=5,$BK$28&gt;=9),VLOOKUP(AF339,$BK$29:$BN$39,2), 1=1, "Normal"))</f>
        <v/>
      </c>
      <c r="G336" t="str" cm="1">
        <f t="array" aca="1" ref="G336" ca="1">IF(D336="","",_xlfn.IFS(AH339&gt;5, "Normal", AND(AH339&lt;=5, $BL$28&lt;=8, $BL$28&gt;=5), VLOOKUP(AG339,$BK$29:$BN$39,3), AND(AH339&lt;=5,$BK$28&gt;=9), VLOOKUP(AG339,$BK$29:$BN$39,3), 1=1, "Normal"))</f>
        <v/>
      </c>
      <c r="H336" t="str">
        <f t="shared" ca="1" si="81"/>
        <v/>
      </c>
      <c r="I336" t="str">
        <f t="shared" ca="1" si="82"/>
        <v/>
      </c>
      <c r="K336" t="str" cm="1">
        <f t="array" aca="1" ref="K336" ca="1">IF(L336="","",(_xlfn.IFS(L336&gt;=15000,VLOOKUP(AW339,$BE$5:$BH$15,4),L336&gt;=4000,VLOOKUP(AW339,$BE$5:$BH$15,3),L336&gt;=100,VLOOKUP(AW339,$BE$5:$BH$15,2))))</f>
        <v/>
      </c>
      <c r="L336" t="str">
        <f t="shared" ca="1" si="83"/>
        <v/>
      </c>
      <c r="AF336" s="1">
        <f t="shared" ca="1" si="87"/>
        <v>8</v>
      </c>
      <c r="AG336" s="1">
        <f t="shared" ca="1" si="87"/>
        <v>8</v>
      </c>
      <c r="AH336" s="1"/>
      <c r="AI336" s="1">
        <f t="shared" ca="1" si="85"/>
        <v>4</v>
      </c>
      <c r="AJ336" s="1">
        <f t="shared" ca="1" si="86"/>
        <v>4</v>
      </c>
      <c r="AO336" s="1">
        <f t="shared" ca="1" si="88"/>
        <v>56</v>
      </c>
      <c r="AP336" s="1">
        <f t="shared" ca="1" si="89"/>
        <v>-260</v>
      </c>
      <c r="AS336" s="1">
        <f t="shared" ca="1" si="90"/>
        <v>85</v>
      </c>
      <c r="AV336" s="1">
        <f t="shared" ca="1" si="91"/>
        <v>-317</v>
      </c>
      <c r="AW336" s="1">
        <f t="shared" ca="1" si="92"/>
        <v>3</v>
      </c>
    </row>
    <row r="337" spans="4:49" x14ac:dyDescent="0.3">
      <c r="D337" t="str">
        <f t="shared" ca="1" si="84"/>
        <v/>
      </c>
      <c r="E337" t="str" cm="1">
        <f t="array" aca="1" ref="E337" ca="1">_xlfn.IFS(D337="","",D337="Starstone", VLOOKUP($BK$4,$BK$6:$BM$11,3)*AI340*AJ340, D337 = "Tristal", VLOOKUP($BK$14,$BK$16:$BM$24,3)*AI340*AJ340, 1=1, VLOOKUP(AO340,$AX$75:$AZ$174,3)*AI340*AJ340)</f>
        <v/>
      </c>
      <c r="F337" t="str" cm="1">
        <f t="array" aca="1" ref="F337" ca="1">IF(D337="","",_xlfn.IFS(AH340&gt;5,"Normal",AND(AH340&lt;=5,$BK$28&lt;=4),VLOOKUP(AF340,$BK$29:$BN$39,2),AND(AH340&lt;=5,$BK$28&gt;=9),VLOOKUP(AF340,$BK$29:$BN$39,2), 1=1, "Normal"))</f>
        <v/>
      </c>
      <c r="G337" t="str" cm="1">
        <f t="array" aca="1" ref="G337" ca="1">IF(D337="","",_xlfn.IFS(AH340&gt;5, "Normal", AND(AH340&lt;=5, $BL$28&lt;=8, $BL$28&gt;=5), VLOOKUP(AG340,$BK$29:$BN$39,3), AND(AH340&lt;=5,$BK$28&gt;=9), VLOOKUP(AG340,$BK$29:$BN$39,3), 1=1, "Normal"))</f>
        <v/>
      </c>
      <c r="H337" t="str">
        <f t="shared" ca="1" si="81"/>
        <v/>
      </c>
      <c r="I337" t="str">
        <f t="shared" ca="1" si="82"/>
        <v/>
      </c>
      <c r="K337" t="str" cm="1">
        <f t="array" aca="1" ref="K337" ca="1">IF(L337="","",(_xlfn.IFS(L337&gt;=15000,VLOOKUP(AW340,$BE$5:$BH$15,4),L337&gt;=4000,VLOOKUP(AW340,$BE$5:$BH$15,3),L337&gt;=100,VLOOKUP(AW340,$BE$5:$BH$15,2))))</f>
        <v/>
      </c>
      <c r="L337" t="str">
        <f t="shared" ca="1" si="83"/>
        <v/>
      </c>
      <c r="AF337" s="1">
        <f t="shared" ca="1" si="87"/>
        <v>5</v>
      </c>
      <c r="AG337" s="1">
        <f t="shared" ca="1" si="87"/>
        <v>9</v>
      </c>
      <c r="AH337" s="1"/>
      <c r="AI337" s="1">
        <f t="shared" ca="1" si="85"/>
        <v>0.5</v>
      </c>
      <c r="AJ337" s="1">
        <f t="shared" ca="1" si="86"/>
        <v>4</v>
      </c>
      <c r="AO337" s="1">
        <f t="shared" ca="1" si="88"/>
        <v>2</v>
      </c>
      <c r="AP337" s="1">
        <f t="shared" ca="1" si="89"/>
        <v>-261</v>
      </c>
      <c r="AS337" s="1">
        <f t="shared" ca="1" si="90"/>
        <v>50</v>
      </c>
      <c r="AV337" s="1">
        <f t="shared" ca="1" si="91"/>
        <v>-318</v>
      </c>
      <c r="AW337" s="1">
        <f t="shared" ca="1" si="92"/>
        <v>3</v>
      </c>
    </row>
    <row r="338" spans="4:49" x14ac:dyDescent="0.3">
      <c r="D338" t="str">
        <f t="shared" ca="1" si="84"/>
        <v/>
      </c>
      <c r="E338" t="str" cm="1">
        <f t="array" aca="1" ref="E338" ca="1">_xlfn.IFS(D338="","",D338="Starstone", VLOOKUP($BK$4,$BK$6:$BM$11,3)*AI341*AJ341, D338 = "Tristal", VLOOKUP($BK$14,$BK$16:$BM$24,3)*AI341*AJ341, 1=1, VLOOKUP(AO341,$AX$75:$AZ$174,3)*AI341*AJ341)</f>
        <v/>
      </c>
      <c r="F338" t="str" cm="1">
        <f t="array" aca="1" ref="F338" ca="1">IF(D338="","",_xlfn.IFS(AH341&gt;5,"Normal",AND(AH341&lt;=5,$BK$28&lt;=4),VLOOKUP(AF341,$BK$29:$BN$39,2),AND(AH341&lt;=5,$BK$28&gt;=9),VLOOKUP(AF341,$BK$29:$BN$39,2), 1=1, "Normal"))</f>
        <v/>
      </c>
      <c r="G338" t="str" cm="1">
        <f t="array" aca="1" ref="G338" ca="1">IF(D338="","",_xlfn.IFS(AH341&gt;5, "Normal", AND(AH341&lt;=5, $BL$28&lt;=8, $BL$28&gt;=5), VLOOKUP(AG341,$BK$29:$BN$39,3), AND(AH341&lt;=5,$BK$28&gt;=9), VLOOKUP(AG341,$BK$29:$BN$39,3), 1=1, "Normal"))</f>
        <v/>
      </c>
      <c r="H338" t="str">
        <f t="shared" ca="1" si="81"/>
        <v/>
      </c>
      <c r="I338" t="str">
        <f t="shared" ca="1" si="82"/>
        <v/>
      </c>
      <c r="K338" t="str" cm="1">
        <f t="array" aca="1" ref="K338" ca="1">IF(L338="","",(_xlfn.IFS(L338&gt;=15000,VLOOKUP(AW341,$BE$5:$BH$15,4),L338&gt;=4000,VLOOKUP(AW341,$BE$5:$BH$15,3),L338&gt;=100,VLOOKUP(AW341,$BE$5:$BH$15,2))))</f>
        <v/>
      </c>
      <c r="L338" t="str">
        <f t="shared" ca="1" si="83"/>
        <v/>
      </c>
      <c r="AF338" s="1">
        <f t="shared" ca="1" si="87"/>
        <v>9</v>
      </c>
      <c r="AG338" s="1">
        <f t="shared" ca="1" si="87"/>
        <v>3</v>
      </c>
      <c r="AH338" s="1"/>
      <c r="AI338" s="1">
        <f t="shared" ca="1" si="85"/>
        <v>4</v>
      </c>
      <c r="AJ338" s="1">
        <f t="shared" ca="1" si="86"/>
        <v>0.25</v>
      </c>
      <c r="AO338" s="1">
        <f t="shared" ca="1" si="88"/>
        <v>66</v>
      </c>
      <c r="AP338" s="1">
        <f t="shared" ca="1" si="89"/>
        <v>-262</v>
      </c>
      <c r="AS338" s="1">
        <f t="shared" ca="1" si="90"/>
        <v>41</v>
      </c>
      <c r="AV338" s="1">
        <f t="shared" ca="1" si="91"/>
        <v>-319</v>
      </c>
      <c r="AW338" s="1">
        <f t="shared" ca="1" si="92"/>
        <v>4</v>
      </c>
    </row>
    <row r="339" spans="4:49" x14ac:dyDescent="0.3">
      <c r="D339" t="str">
        <f t="shared" ca="1" si="84"/>
        <v/>
      </c>
      <c r="E339" t="str" cm="1">
        <f t="array" aca="1" ref="E339" ca="1">_xlfn.IFS(D339="","",D339="Starstone", VLOOKUP($BK$4,$BK$6:$BM$11,3)*AI342*AJ342, D339 = "Tristal", VLOOKUP($BK$14,$BK$16:$BM$24,3)*AI342*AJ342, 1=1, VLOOKUP(AO342,$AX$75:$AZ$174,3)*AI342*AJ342)</f>
        <v/>
      </c>
      <c r="F339" t="str" cm="1">
        <f t="array" aca="1" ref="F339" ca="1">IF(D339="","",_xlfn.IFS(AH342&gt;5,"Normal",AND(AH342&lt;=5,$BK$28&lt;=4),VLOOKUP(AF342,$BK$29:$BN$39,2),AND(AH342&lt;=5,$BK$28&gt;=9),VLOOKUP(AF342,$BK$29:$BN$39,2), 1=1, "Normal"))</f>
        <v/>
      </c>
      <c r="G339" t="str" cm="1">
        <f t="array" aca="1" ref="G339" ca="1">IF(D339="","",_xlfn.IFS(AH342&gt;5, "Normal", AND(AH342&lt;=5, $BL$28&lt;=8, $BL$28&gt;=5), VLOOKUP(AG342,$BK$29:$BN$39,3), AND(AH342&lt;=5,$BK$28&gt;=9), VLOOKUP(AG342,$BK$29:$BN$39,3), 1=1, "Normal"))</f>
        <v/>
      </c>
      <c r="H339" t="str">
        <f t="shared" ca="1" si="81"/>
        <v/>
      </c>
      <c r="I339" t="str">
        <f t="shared" ca="1" si="82"/>
        <v/>
      </c>
      <c r="K339" t="str" cm="1">
        <f t="array" aca="1" ref="K339" ca="1">IF(L339="","",(_xlfn.IFS(L339&gt;=15000,VLOOKUP(AW342,$BE$5:$BH$15,4),L339&gt;=4000,VLOOKUP(AW342,$BE$5:$BH$15,3),L339&gt;=100,VLOOKUP(AW342,$BE$5:$BH$15,2))))</f>
        <v/>
      </c>
      <c r="L339" t="str">
        <f t="shared" ca="1" si="83"/>
        <v/>
      </c>
      <c r="AF339" s="1">
        <f t="shared" ca="1" si="87"/>
        <v>2</v>
      </c>
      <c r="AG339" s="1">
        <f t="shared" ca="1" si="87"/>
        <v>1</v>
      </c>
      <c r="AH339" s="1"/>
      <c r="AI339" s="1">
        <f t="shared" ca="1" si="85"/>
        <v>0.25</v>
      </c>
      <c r="AJ339" s="1">
        <f t="shared" ca="1" si="86"/>
        <v>0.125</v>
      </c>
      <c r="AO339" s="1">
        <f t="shared" ca="1" si="88"/>
        <v>76</v>
      </c>
      <c r="AP339" s="1">
        <f t="shared" ca="1" si="89"/>
        <v>-263</v>
      </c>
      <c r="AS339" s="1">
        <f t="shared" ca="1" si="90"/>
        <v>20</v>
      </c>
      <c r="AV339" s="1">
        <f t="shared" ca="1" si="91"/>
        <v>-320</v>
      </c>
      <c r="AW339" s="1">
        <f t="shared" ca="1" si="92"/>
        <v>4</v>
      </c>
    </row>
    <row r="340" spans="4:49" x14ac:dyDescent="0.3">
      <c r="D340" t="str">
        <f t="shared" ca="1" si="84"/>
        <v/>
      </c>
      <c r="E340" t="str" cm="1">
        <f t="array" aca="1" ref="E340" ca="1">_xlfn.IFS(D340="","",D340="Starstone", VLOOKUP($BK$4,$BK$6:$BM$11,3)*AI343*AJ343, D340 = "Tristal", VLOOKUP($BK$14,$BK$16:$BM$24,3)*AI343*AJ343, 1=1, VLOOKUP(AO343,$AX$75:$AZ$174,3)*AI343*AJ343)</f>
        <v/>
      </c>
      <c r="F340" t="str" cm="1">
        <f t="array" aca="1" ref="F340" ca="1">IF(D340="","",_xlfn.IFS(AH343&gt;5,"Normal",AND(AH343&lt;=5,$BK$28&lt;=4),VLOOKUP(AF343,$BK$29:$BN$39,2),AND(AH343&lt;=5,$BK$28&gt;=9),VLOOKUP(AF343,$BK$29:$BN$39,2), 1=1, "Normal"))</f>
        <v/>
      </c>
      <c r="G340" t="str" cm="1">
        <f t="array" aca="1" ref="G340" ca="1">IF(D340="","",_xlfn.IFS(AH343&gt;5, "Normal", AND(AH343&lt;=5, $BL$28&lt;=8, $BL$28&gt;=5), VLOOKUP(AG343,$BK$29:$BN$39,3), AND(AH343&lt;=5,$BK$28&gt;=9), VLOOKUP(AG343,$BK$29:$BN$39,3), 1=1, "Normal"))</f>
        <v/>
      </c>
      <c r="H340" t="str">
        <f t="shared" ca="1" si="81"/>
        <v/>
      </c>
      <c r="I340" t="str">
        <f t="shared" ca="1" si="82"/>
        <v/>
      </c>
      <c r="K340" t="str" cm="1">
        <f t="array" aca="1" ref="K340" ca="1">IF(L340="","",(_xlfn.IFS(L340&gt;=15000,VLOOKUP(AW343,$BE$5:$BH$15,4),L340&gt;=4000,VLOOKUP(AW343,$BE$5:$BH$15,3),L340&gt;=100,VLOOKUP(AW343,$BE$5:$BH$15,2))))</f>
        <v/>
      </c>
      <c r="L340" t="str">
        <f t="shared" ca="1" si="83"/>
        <v/>
      </c>
      <c r="AF340" s="1">
        <f t="shared" ca="1" si="87"/>
        <v>1</v>
      </c>
      <c r="AG340" s="1">
        <f t="shared" ca="1" si="87"/>
        <v>3</v>
      </c>
      <c r="AH340" s="1"/>
      <c r="AI340" s="1">
        <f t="shared" ca="1" si="85"/>
        <v>0.125</v>
      </c>
      <c r="AJ340" s="1">
        <f t="shared" ca="1" si="86"/>
        <v>0.25</v>
      </c>
      <c r="AO340" s="1">
        <f t="shared" ca="1" si="88"/>
        <v>29</v>
      </c>
      <c r="AP340" s="1">
        <f t="shared" ca="1" si="89"/>
        <v>-264</v>
      </c>
      <c r="AS340" s="1">
        <f t="shared" ca="1" si="90"/>
        <v>71</v>
      </c>
      <c r="AV340" s="1">
        <f t="shared" ca="1" si="91"/>
        <v>-321</v>
      </c>
      <c r="AW340" s="1">
        <f t="shared" ca="1" si="92"/>
        <v>10</v>
      </c>
    </row>
    <row r="341" spans="4:49" x14ac:dyDescent="0.3">
      <c r="D341" t="str">
        <f t="shared" ca="1" si="84"/>
        <v/>
      </c>
      <c r="E341" t="str" cm="1">
        <f t="array" aca="1" ref="E341" ca="1">_xlfn.IFS(D341="","",D341="Starstone", VLOOKUP($BK$4,$BK$6:$BM$11,3)*AI344*AJ344, D341 = "Tristal", VLOOKUP($BK$14,$BK$16:$BM$24,3)*AI344*AJ344, 1=1, VLOOKUP(AO344,$AX$75:$AZ$174,3)*AI344*AJ344)</f>
        <v/>
      </c>
      <c r="F341" t="str" cm="1">
        <f t="array" aca="1" ref="F341" ca="1">IF(D341="","",_xlfn.IFS(AH344&gt;5,"Normal",AND(AH344&lt;=5,$BK$28&lt;=4),VLOOKUP(AF344,$BK$29:$BN$39,2),AND(AH344&lt;=5,$BK$28&gt;=9),VLOOKUP(AF344,$BK$29:$BN$39,2), 1=1, "Normal"))</f>
        <v/>
      </c>
      <c r="G341" t="str" cm="1">
        <f t="array" aca="1" ref="G341" ca="1">IF(D341="","",_xlfn.IFS(AH344&gt;5, "Normal", AND(AH344&lt;=5, $BL$28&lt;=8, $BL$28&gt;=5), VLOOKUP(AG344,$BK$29:$BN$39,3), AND(AH344&lt;=5,$BK$28&gt;=9), VLOOKUP(AG344,$BK$29:$BN$39,3), 1=1, "Normal"))</f>
        <v/>
      </c>
      <c r="H341" t="str">
        <f t="shared" ca="1" si="81"/>
        <v/>
      </c>
      <c r="I341" t="str">
        <f t="shared" ca="1" si="82"/>
        <v/>
      </c>
      <c r="K341" t="str" cm="1">
        <f t="array" aca="1" ref="K341" ca="1">IF(L341="","",(_xlfn.IFS(L341&gt;=15000,VLOOKUP(AW344,$BE$5:$BH$15,4),L341&gt;=4000,VLOOKUP(AW344,$BE$5:$BH$15,3),L341&gt;=100,VLOOKUP(AW344,$BE$5:$BH$15,2))))</f>
        <v/>
      </c>
      <c r="L341" t="str">
        <f t="shared" ca="1" si="83"/>
        <v/>
      </c>
      <c r="AF341" s="1">
        <f t="shared" ca="1" si="87"/>
        <v>6</v>
      </c>
      <c r="AG341" s="1">
        <f t="shared" ca="1" si="87"/>
        <v>6</v>
      </c>
      <c r="AH341" s="1"/>
      <c r="AI341" s="1">
        <f t="shared" ca="1" si="85"/>
        <v>2</v>
      </c>
      <c r="AJ341" s="1">
        <f t="shared" ca="1" si="86"/>
        <v>2</v>
      </c>
      <c r="AO341" s="1">
        <f t="shared" ca="1" si="88"/>
        <v>66</v>
      </c>
      <c r="AP341" s="1">
        <f t="shared" ca="1" si="89"/>
        <v>-265</v>
      </c>
      <c r="AS341" s="1">
        <f t="shared" ca="1" si="90"/>
        <v>79</v>
      </c>
      <c r="AV341" s="1">
        <f t="shared" ca="1" si="91"/>
        <v>-322</v>
      </c>
      <c r="AW341" s="1">
        <f t="shared" ca="1" si="92"/>
        <v>1</v>
      </c>
    </row>
    <row r="342" spans="4:49" x14ac:dyDescent="0.3">
      <c r="D342" t="str">
        <f t="shared" ca="1" si="84"/>
        <v/>
      </c>
      <c r="E342" t="str" cm="1">
        <f t="array" aca="1" ref="E342" ca="1">_xlfn.IFS(D342="","",D342="Starstone", VLOOKUP($BK$4,$BK$6:$BM$11,3)*AI345*AJ345, D342 = "Tristal", VLOOKUP($BK$14,$BK$16:$BM$24,3)*AI345*AJ345, 1=1, VLOOKUP(AO345,$AX$75:$AZ$174,3)*AI345*AJ345)</f>
        <v/>
      </c>
      <c r="F342" t="str" cm="1">
        <f t="array" aca="1" ref="F342" ca="1">IF(D342="","",_xlfn.IFS(AH345&gt;5,"Normal",AND(AH345&lt;=5,$BK$28&lt;=4),VLOOKUP(AF345,$BK$29:$BN$39,2),AND(AH345&lt;=5,$BK$28&gt;=9),VLOOKUP(AF345,$BK$29:$BN$39,2), 1=1, "Normal"))</f>
        <v/>
      </c>
      <c r="G342" t="str" cm="1">
        <f t="array" aca="1" ref="G342" ca="1">IF(D342="","",_xlfn.IFS(AH345&gt;5, "Normal", AND(AH345&lt;=5, $BL$28&lt;=8, $BL$28&gt;=5), VLOOKUP(AG345,$BK$29:$BN$39,3), AND(AH345&lt;=5,$BK$28&gt;=9), VLOOKUP(AG345,$BK$29:$BN$39,3), 1=1, "Normal"))</f>
        <v/>
      </c>
      <c r="H342" t="str">
        <f t="shared" ca="1" si="81"/>
        <v/>
      </c>
      <c r="I342" t="str">
        <f t="shared" ca="1" si="82"/>
        <v/>
      </c>
      <c r="K342" t="str" cm="1">
        <f t="array" aca="1" ref="K342" ca="1">IF(L342="","",(_xlfn.IFS(L342&gt;=15000,VLOOKUP(AW345,$BE$5:$BH$15,4),L342&gt;=4000,VLOOKUP(AW345,$BE$5:$BH$15,3),L342&gt;=100,VLOOKUP(AW345,$BE$5:$BH$15,2))))</f>
        <v/>
      </c>
      <c r="L342" t="str">
        <f t="shared" ca="1" si="83"/>
        <v/>
      </c>
      <c r="AF342" s="1">
        <f t="shared" ca="1" si="87"/>
        <v>9</v>
      </c>
      <c r="AG342" s="1">
        <f t="shared" ca="1" si="87"/>
        <v>5</v>
      </c>
      <c r="AH342" s="1"/>
      <c r="AI342" s="1">
        <f t="shared" ca="1" si="85"/>
        <v>4</v>
      </c>
      <c r="AJ342" s="1">
        <f t="shared" ca="1" si="86"/>
        <v>0.5</v>
      </c>
      <c r="AO342" s="1">
        <f t="shared" ca="1" si="88"/>
        <v>61</v>
      </c>
      <c r="AP342" s="1">
        <f t="shared" ca="1" si="89"/>
        <v>-266</v>
      </c>
      <c r="AS342" s="1">
        <f t="shared" ca="1" si="90"/>
        <v>99</v>
      </c>
      <c r="AV342" s="1">
        <f t="shared" ca="1" si="91"/>
        <v>-323</v>
      </c>
      <c r="AW342" s="1">
        <f t="shared" ca="1" si="92"/>
        <v>1</v>
      </c>
    </row>
    <row r="343" spans="4:49" x14ac:dyDescent="0.3">
      <c r="D343" t="str">
        <f t="shared" ca="1" si="84"/>
        <v/>
      </c>
      <c r="E343" t="str" cm="1">
        <f t="array" aca="1" ref="E343" ca="1">_xlfn.IFS(D343="","",D343="Starstone", VLOOKUP($BK$4,$BK$6:$BM$11,3)*AI346*AJ346, D343 = "Tristal", VLOOKUP($BK$14,$BK$16:$BM$24,3)*AI346*AJ346, 1=1, VLOOKUP(AO346,$AX$75:$AZ$174,3)*AI346*AJ346)</f>
        <v/>
      </c>
      <c r="F343" t="str" cm="1">
        <f t="array" aca="1" ref="F343" ca="1">IF(D343="","",_xlfn.IFS(AH346&gt;5,"Normal",AND(AH346&lt;=5,$BK$28&lt;=4),VLOOKUP(AF346,$BK$29:$BN$39,2),AND(AH346&lt;=5,$BK$28&gt;=9),VLOOKUP(AF346,$BK$29:$BN$39,2), 1=1, "Normal"))</f>
        <v/>
      </c>
      <c r="G343" t="str" cm="1">
        <f t="array" aca="1" ref="G343" ca="1">IF(D343="","",_xlfn.IFS(AH346&gt;5, "Normal", AND(AH346&lt;=5, $BL$28&lt;=8, $BL$28&gt;=5), VLOOKUP(AG346,$BK$29:$BN$39,3), AND(AH346&lt;=5,$BK$28&gt;=9), VLOOKUP(AG346,$BK$29:$BN$39,3), 1=1, "Normal"))</f>
        <v/>
      </c>
      <c r="H343" t="str">
        <f t="shared" ca="1" si="81"/>
        <v/>
      </c>
      <c r="I343" t="str">
        <f t="shared" ca="1" si="82"/>
        <v/>
      </c>
      <c r="K343" t="str" cm="1">
        <f t="array" aca="1" ref="K343" ca="1">IF(L343="","",(_xlfn.IFS(L343&gt;=15000,VLOOKUP(AW346,$BE$5:$BH$15,4),L343&gt;=4000,VLOOKUP(AW346,$BE$5:$BH$15,3),L343&gt;=100,VLOOKUP(AW346,$BE$5:$BH$15,2))))</f>
        <v/>
      </c>
      <c r="L343" t="str">
        <f t="shared" ca="1" si="83"/>
        <v/>
      </c>
      <c r="AF343" s="1">
        <f t="shared" ca="1" si="87"/>
        <v>3</v>
      </c>
      <c r="AG343" s="1">
        <f t="shared" ca="1" si="87"/>
        <v>1</v>
      </c>
      <c r="AH343" s="1"/>
      <c r="AI343" s="1">
        <f t="shared" ca="1" si="85"/>
        <v>0.25</v>
      </c>
      <c r="AJ343" s="1">
        <f t="shared" ca="1" si="86"/>
        <v>0.125</v>
      </c>
      <c r="AO343" s="1">
        <f t="shared" ca="1" si="88"/>
        <v>32</v>
      </c>
      <c r="AP343" s="1">
        <f t="shared" ca="1" si="89"/>
        <v>-267</v>
      </c>
      <c r="AS343" s="1">
        <f t="shared" ca="1" si="90"/>
        <v>70</v>
      </c>
      <c r="AV343" s="1">
        <f t="shared" ca="1" si="91"/>
        <v>-324</v>
      </c>
      <c r="AW343" s="1">
        <f t="shared" ca="1" si="92"/>
        <v>6</v>
      </c>
    </row>
    <row r="344" spans="4:49" x14ac:dyDescent="0.3">
      <c r="D344" t="str">
        <f t="shared" ca="1" si="84"/>
        <v/>
      </c>
      <c r="E344" t="str" cm="1">
        <f t="array" aca="1" ref="E344" ca="1">_xlfn.IFS(D344="","",D344="Starstone", VLOOKUP($BK$4,$BK$6:$BM$11,3)*AI347*AJ347, D344 = "Tristal", VLOOKUP($BK$14,$BK$16:$BM$24,3)*AI347*AJ347, 1=1, VLOOKUP(AO347,$AX$75:$AZ$174,3)*AI347*AJ347)</f>
        <v/>
      </c>
      <c r="F344" t="str" cm="1">
        <f t="array" aca="1" ref="F344" ca="1">IF(D344="","",_xlfn.IFS(AH347&gt;5,"Normal",AND(AH347&lt;=5,$BK$28&lt;=4),VLOOKUP(AF347,$BK$29:$BN$39,2),AND(AH347&lt;=5,$BK$28&gt;=9),VLOOKUP(AF347,$BK$29:$BN$39,2), 1=1, "Normal"))</f>
        <v/>
      </c>
      <c r="G344" t="str" cm="1">
        <f t="array" aca="1" ref="G344" ca="1">IF(D344="","",_xlfn.IFS(AH347&gt;5, "Normal", AND(AH347&lt;=5, $BL$28&lt;=8, $BL$28&gt;=5), VLOOKUP(AG347,$BK$29:$BN$39,3), AND(AH347&lt;=5,$BK$28&gt;=9), VLOOKUP(AG347,$BK$29:$BN$39,3), 1=1, "Normal"))</f>
        <v/>
      </c>
      <c r="H344" t="str">
        <f t="shared" ca="1" si="81"/>
        <v/>
      </c>
      <c r="I344" t="str">
        <f t="shared" ca="1" si="82"/>
        <v/>
      </c>
      <c r="K344" t="str" cm="1">
        <f t="array" aca="1" ref="K344" ca="1">IF(L344="","",(_xlfn.IFS(L344&gt;=15000,VLOOKUP(AW347,$BE$5:$BH$15,4),L344&gt;=4000,VLOOKUP(AW347,$BE$5:$BH$15,3),L344&gt;=100,VLOOKUP(AW347,$BE$5:$BH$15,2))))</f>
        <v/>
      </c>
      <c r="L344" t="str">
        <f t="shared" ca="1" si="83"/>
        <v/>
      </c>
      <c r="AF344" s="1">
        <f t="shared" ca="1" si="87"/>
        <v>10</v>
      </c>
      <c r="AG344" s="1">
        <f t="shared" ca="1" si="87"/>
        <v>8</v>
      </c>
      <c r="AH344" s="1"/>
      <c r="AI344" s="1">
        <f t="shared" ca="1" si="85"/>
        <v>8</v>
      </c>
      <c r="AJ344" s="1">
        <f t="shared" ca="1" si="86"/>
        <v>4</v>
      </c>
      <c r="AO344" s="1">
        <f t="shared" ca="1" si="88"/>
        <v>12</v>
      </c>
      <c r="AP344" s="1">
        <f t="shared" ca="1" si="89"/>
        <v>-268</v>
      </c>
      <c r="AS344" s="1">
        <f t="shared" ca="1" si="90"/>
        <v>62</v>
      </c>
      <c r="AV344" s="1">
        <f t="shared" ca="1" si="91"/>
        <v>-325</v>
      </c>
      <c r="AW344" s="1">
        <f t="shared" ca="1" si="92"/>
        <v>7</v>
      </c>
    </row>
    <row r="345" spans="4:49" x14ac:dyDescent="0.3">
      <c r="D345" t="str">
        <f t="shared" ca="1" si="84"/>
        <v/>
      </c>
      <c r="E345" t="str" cm="1">
        <f t="array" aca="1" ref="E345" ca="1">_xlfn.IFS(D345="","",D345="Starstone", VLOOKUP($BK$4,$BK$6:$BM$11,3)*AI348*AJ348, D345 = "Tristal", VLOOKUP($BK$14,$BK$16:$BM$24,3)*AI348*AJ348, 1=1, VLOOKUP(AO348,$AX$75:$AZ$174,3)*AI348*AJ348)</f>
        <v/>
      </c>
      <c r="F345" t="str" cm="1">
        <f t="array" aca="1" ref="F345" ca="1">IF(D345="","",_xlfn.IFS(AH348&gt;5,"Normal",AND(AH348&lt;=5,$BK$28&lt;=4),VLOOKUP(AF348,$BK$29:$BN$39,2),AND(AH348&lt;=5,$BK$28&gt;=9),VLOOKUP(AF348,$BK$29:$BN$39,2), 1=1, "Normal"))</f>
        <v/>
      </c>
      <c r="G345" t="str" cm="1">
        <f t="array" aca="1" ref="G345" ca="1">IF(D345="","",_xlfn.IFS(AH348&gt;5, "Normal", AND(AH348&lt;=5, $BL$28&lt;=8, $BL$28&gt;=5), VLOOKUP(AG348,$BK$29:$BN$39,3), AND(AH348&lt;=5,$BK$28&gt;=9), VLOOKUP(AG348,$BK$29:$BN$39,3), 1=1, "Normal"))</f>
        <v/>
      </c>
      <c r="H345" t="str">
        <f t="shared" ca="1" si="81"/>
        <v/>
      </c>
      <c r="I345" t="str">
        <f t="shared" ca="1" si="82"/>
        <v/>
      </c>
      <c r="K345" t="str" cm="1">
        <f t="array" aca="1" ref="K345" ca="1">IF(L345="","",(_xlfn.IFS(L345&gt;=15000,VLOOKUP(AW348,$BE$5:$BH$15,4),L345&gt;=4000,VLOOKUP(AW348,$BE$5:$BH$15,3),L345&gt;=100,VLOOKUP(AW348,$BE$5:$BH$15,2))))</f>
        <v/>
      </c>
      <c r="L345" t="str">
        <f t="shared" ca="1" si="83"/>
        <v/>
      </c>
      <c r="AF345" s="1">
        <f t="shared" ca="1" si="87"/>
        <v>10</v>
      </c>
      <c r="AG345" s="1">
        <f t="shared" ca="1" si="87"/>
        <v>8</v>
      </c>
      <c r="AH345" s="1"/>
      <c r="AI345" s="1">
        <f t="shared" ca="1" si="85"/>
        <v>8</v>
      </c>
      <c r="AJ345" s="1">
        <f t="shared" ca="1" si="86"/>
        <v>4</v>
      </c>
      <c r="AO345" s="1">
        <f t="shared" ca="1" si="88"/>
        <v>9</v>
      </c>
      <c r="AP345" s="1">
        <f t="shared" ca="1" si="89"/>
        <v>-269</v>
      </c>
      <c r="AS345" s="1">
        <f t="shared" ca="1" si="90"/>
        <v>69</v>
      </c>
      <c r="AV345" s="1">
        <f t="shared" ca="1" si="91"/>
        <v>-326</v>
      </c>
      <c r="AW345" s="1">
        <f t="shared" ca="1" si="92"/>
        <v>2</v>
      </c>
    </row>
    <row r="346" spans="4:49" x14ac:dyDescent="0.3">
      <c r="D346" t="str">
        <f t="shared" ca="1" si="84"/>
        <v/>
      </c>
      <c r="E346" t="str" cm="1">
        <f t="array" aca="1" ref="E346" ca="1">_xlfn.IFS(D346="","",D346="Starstone", VLOOKUP($BK$4,$BK$6:$BM$11,3)*AI349*AJ349, D346 = "Tristal", VLOOKUP($BK$14,$BK$16:$BM$24,3)*AI349*AJ349, 1=1, VLOOKUP(AO349,$AX$75:$AZ$174,3)*AI349*AJ349)</f>
        <v/>
      </c>
      <c r="F346" t="str" cm="1">
        <f t="array" aca="1" ref="F346" ca="1">IF(D346="","",_xlfn.IFS(AH349&gt;5,"Normal",AND(AH349&lt;=5,$BK$28&lt;=4),VLOOKUP(AF349,$BK$29:$BN$39,2),AND(AH349&lt;=5,$BK$28&gt;=9),VLOOKUP(AF349,$BK$29:$BN$39,2), 1=1, "Normal"))</f>
        <v/>
      </c>
      <c r="G346" t="str" cm="1">
        <f t="array" aca="1" ref="G346" ca="1">IF(D346="","",_xlfn.IFS(AH349&gt;5, "Normal", AND(AH349&lt;=5, $BL$28&lt;=8, $BL$28&gt;=5), VLOOKUP(AG349,$BK$29:$BN$39,3), AND(AH349&lt;=5,$BK$28&gt;=9), VLOOKUP(AG349,$BK$29:$BN$39,3), 1=1, "Normal"))</f>
        <v/>
      </c>
      <c r="H346" t="str">
        <f t="shared" ca="1" si="81"/>
        <v/>
      </c>
      <c r="I346" t="str">
        <f t="shared" ca="1" si="82"/>
        <v/>
      </c>
      <c r="K346" t="str" cm="1">
        <f t="array" aca="1" ref="K346" ca="1">IF(L346="","",(_xlfn.IFS(L346&gt;=15000,VLOOKUP(AW349,$BE$5:$BH$15,4),L346&gt;=4000,VLOOKUP(AW349,$BE$5:$BH$15,3),L346&gt;=100,VLOOKUP(AW349,$BE$5:$BH$15,2))))</f>
        <v/>
      </c>
      <c r="L346" t="str">
        <f t="shared" ca="1" si="83"/>
        <v/>
      </c>
      <c r="AF346" s="1">
        <f t="shared" ca="1" si="87"/>
        <v>7</v>
      </c>
      <c r="AG346" s="1">
        <f t="shared" ca="1" si="87"/>
        <v>2</v>
      </c>
      <c r="AH346" s="1"/>
      <c r="AI346" s="1">
        <f t="shared" ca="1" si="85"/>
        <v>2</v>
      </c>
      <c r="AJ346" s="1">
        <f t="shared" ca="1" si="86"/>
        <v>0.25</v>
      </c>
      <c r="AO346" s="1">
        <f t="shared" ca="1" si="88"/>
        <v>55</v>
      </c>
      <c r="AP346" s="1">
        <f t="shared" ca="1" si="89"/>
        <v>-270</v>
      </c>
      <c r="AS346" s="1">
        <f t="shared" ca="1" si="90"/>
        <v>8</v>
      </c>
      <c r="AV346" s="1">
        <f t="shared" ca="1" si="91"/>
        <v>-327</v>
      </c>
      <c r="AW346" s="1">
        <f t="shared" ca="1" si="92"/>
        <v>1</v>
      </c>
    </row>
    <row r="347" spans="4:49" x14ac:dyDescent="0.3">
      <c r="D347" t="str">
        <f t="shared" ca="1" si="84"/>
        <v/>
      </c>
      <c r="E347" t="str" cm="1">
        <f t="array" aca="1" ref="E347" ca="1">_xlfn.IFS(D347="","",D347="Starstone", VLOOKUP($BK$4,$BK$6:$BM$11,3)*AI350*AJ350, D347 = "Tristal", VLOOKUP($BK$14,$BK$16:$BM$24,3)*AI350*AJ350, 1=1, VLOOKUP(AO350,$AX$75:$AZ$174,3)*AI350*AJ350)</f>
        <v/>
      </c>
      <c r="F347" t="str" cm="1">
        <f t="array" aca="1" ref="F347" ca="1">IF(D347="","",_xlfn.IFS(AH350&gt;5,"Normal",AND(AH350&lt;=5,$BK$28&lt;=4),VLOOKUP(AF350,$BK$29:$BN$39,2),AND(AH350&lt;=5,$BK$28&gt;=9),VLOOKUP(AF350,$BK$29:$BN$39,2), 1=1, "Normal"))</f>
        <v/>
      </c>
      <c r="G347" t="str" cm="1">
        <f t="array" aca="1" ref="G347" ca="1">IF(D347="","",_xlfn.IFS(AH350&gt;5, "Normal", AND(AH350&lt;=5, $BL$28&lt;=8, $BL$28&gt;=5), VLOOKUP(AG350,$BK$29:$BN$39,3), AND(AH350&lt;=5,$BK$28&gt;=9), VLOOKUP(AG350,$BK$29:$BN$39,3), 1=1, "Normal"))</f>
        <v/>
      </c>
      <c r="H347" t="str">
        <f t="shared" ca="1" si="81"/>
        <v/>
      </c>
      <c r="I347" t="str">
        <f t="shared" ca="1" si="82"/>
        <v/>
      </c>
      <c r="K347" t="str" cm="1">
        <f t="array" aca="1" ref="K347" ca="1">IF(L347="","",(_xlfn.IFS(L347&gt;=15000,VLOOKUP(AW350,$BE$5:$BH$15,4),L347&gt;=4000,VLOOKUP(AW350,$BE$5:$BH$15,3),L347&gt;=100,VLOOKUP(AW350,$BE$5:$BH$15,2))))</f>
        <v/>
      </c>
      <c r="L347" t="str">
        <f t="shared" ca="1" si="83"/>
        <v/>
      </c>
      <c r="AF347" s="1">
        <f t="shared" ca="1" si="87"/>
        <v>6</v>
      </c>
      <c r="AG347" s="1">
        <f t="shared" ca="1" si="87"/>
        <v>1</v>
      </c>
      <c r="AH347" s="1"/>
      <c r="AI347" s="1">
        <f t="shared" ca="1" si="85"/>
        <v>2</v>
      </c>
      <c r="AJ347" s="1">
        <f t="shared" ca="1" si="86"/>
        <v>0.125</v>
      </c>
      <c r="AO347" s="1">
        <f t="shared" ca="1" si="88"/>
        <v>75</v>
      </c>
      <c r="AP347" s="1">
        <f t="shared" ca="1" si="89"/>
        <v>-271</v>
      </c>
      <c r="AS347" s="1">
        <f t="shared" ca="1" si="90"/>
        <v>48</v>
      </c>
      <c r="AV347" s="1">
        <f t="shared" ca="1" si="91"/>
        <v>-328</v>
      </c>
      <c r="AW347" s="1">
        <f t="shared" ca="1" si="92"/>
        <v>2</v>
      </c>
    </row>
    <row r="348" spans="4:49" x14ac:dyDescent="0.3">
      <c r="D348" t="str">
        <f t="shared" ca="1" si="84"/>
        <v/>
      </c>
      <c r="E348" t="str" cm="1">
        <f t="array" aca="1" ref="E348" ca="1">_xlfn.IFS(D348="","",D348="Starstone", VLOOKUP($BK$4,$BK$6:$BM$11,3)*AI351*AJ351, D348 = "Tristal", VLOOKUP($BK$14,$BK$16:$BM$24,3)*AI351*AJ351, 1=1, VLOOKUP(AO351,$AX$75:$AZ$174,3)*AI351*AJ351)</f>
        <v/>
      </c>
      <c r="F348" t="str" cm="1">
        <f t="array" aca="1" ref="F348" ca="1">IF(D348="","",_xlfn.IFS(AH351&gt;5,"Normal",AND(AH351&lt;=5,$BK$28&lt;=4),VLOOKUP(AF351,$BK$29:$BN$39,2),AND(AH351&lt;=5,$BK$28&gt;=9),VLOOKUP(AF351,$BK$29:$BN$39,2), 1=1, "Normal"))</f>
        <v/>
      </c>
      <c r="G348" t="str" cm="1">
        <f t="array" aca="1" ref="G348" ca="1">IF(D348="","",_xlfn.IFS(AH351&gt;5, "Normal", AND(AH351&lt;=5, $BL$28&lt;=8, $BL$28&gt;=5), VLOOKUP(AG351,$BK$29:$BN$39,3), AND(AH351&lt;=5,$BK$28&gt;=9), VLOOKUP(AG351,$BK$29:$BN$39,3), 1=1, "Normal"))</f>
        <v/>
      </c>
      <c r="H348" t="str">
        <f t="shared" ca="1" si="81"/>
        <v/>
      </c>
      <c r="I348" t="str">
        <f t="shared" ca="1" si="82"/>
        <v/>
      </c>
      <c r="K348" t="str" cm="1">
        <f t="array" aca="1" ref="K348" ca="1">IF(L348="","",(_xlfn.IFS(L348&gt;=15000,VLOOKUP(AW351,$BE$5:$BH$15,4),L348&gt;=4000,VLOOKUP(AW351,$BE$5:$BH$15,3),L348&gt;=100,VLOOKUP(AW351,$BE$5:$BH$15,2))))</f>
        <v/>
      </c>
      <c r="L348" t="str">
        <f t="shared" ca="1" si="83"/>
        <v/>
      </c>
      <c r="AF348" s="1">
        <f t="shared" ca="1" si="87"/>
        <v>2</v>
      </c>
      <c r="AG348" s="1">
        <f t="shared" ca="1" si="87"/>
        <v>2</v>
      </c>
      <c r="AH348" s="1"/>
      <c r="AI348" s="1">
        <f t="shared" ca="1" si="85"/>
        <v>0.25</v>
      </c>
      <c r="AJ348" s="1">
        <f t="shared" ca="1" si="86"/>
        <v>0.25</v>
      </c>
      <c r="AO348" s="1">
        <f t="shared" ca="1" si="88"/>
        <v>16</v>
      </c>
      <c r="AP348" s="1">
        <f t="shared" ca="1" si="89"/>
        <v>-272</v>
      </c>
      <c r="AS348" s="1">
        <f t="shared" ca="1" si="90"/>
        <v>49</v>
      </c>
      <c r="AV348" s="1">
        <f t="shared" ca="1" si="91"/>
        <v>-329</v>
      </c>
      <c r="AW348" s="1">
        <f t="shared" ca="1" si="92"/>
        <v>9</v>
      </c>
    </row>
    <row r="349" spans="4:49" x14ac:dyDescent="0.3">
      <c r="D349" t="str">
        <f t="shared" ca="1" si="84"/>
        <v/>
      </c>
      <c r="E349" t="str" cm="1">
        <f t="array" aca="1" ref="E349" ca="1">_xlfn.IFS(D349="","",D349="Starstone", VLOOKUP($BK$4,$BK$6:$BM$11,3)*AI352*AJ352, D349 = "Tristal", VLOOKUP($BK$14,$BK$16:$BM$24,3)*AI352*AJ352, 1=1, VLOOKUP(AO352,$AX$75:$AZ$174,3)*AI352*AJ352)</f>
        <v/>
      </c>
      <c r="F349" t="str" cm="1">
        <f t="array" aca="1" ref="F349" ca="1">IF(D349="","",_xlfn.IFS(AH352&gt;5,"Normal",AND(AH352&lt;=5,$BK$28&lt;=4),VLOOKUP(AF352,$BK$29:$BN$39,2),AND(AH352&lt;=5,$BK$28&gt;=9),VLOOKUP(AF352,$BK$29:$BN$39,2), 1=1, "Normal"))</f>
        <v/>
      </c>
      <c r="G349" t="str" cm="1">
        <f t="array" aca="1" ref="G349" ca="1">IF(D349="","",_xlfn.IFS(AH352&gt;5, "Normal", AND(AH352&lt;=5, $BL$28&lt;=8, $BL$28&gt;=5), VLOOKUP(AG352,$BK$29:$BN$39,3), AND(AH352&lt;=5,$BK$28&gt;=9), VLOOKUP(AG352,$BK$29:$BN$39,3), 1=1, "Normal"))</f>
        <v/>
      </c>
      <c r="H349" t="str">
        <f t="shared" ca="1" si="81"/>
        <v/>
      </c>
      <c r="I349" t="str">
        <f t="shared" ca="1" si="82"/>
        <v/>
      </c>
      <c r="K349" t="str" cm="1">
        <f t="array" aca="1" ref="K349" ca="1">IF(L349="","",(_xlfn.IFS(L349&gt;=15000,VLOOKUP(AW352,$BE$5:$BH$15,4),L349&gt;=4000,VLOOKUP(AW352,$BE$5:$BH$15,3),L349&gt;=100,VLOOKUP(AW352,$BE$5:$BH$15,2))))</f>
        <v/>
      </c>
      <c r="L349" t="str">
        <f t="shared" ca="1" si="83"/>
        <v/>
      </c>
      <c r="AF349" s="1">
        <f t="shared" ca="1" si="87"/>
        <v>2</v>
      </c>
      <c r="AG349" s="1">
        <f t="shared" ca="1" si="87"/>
        <v>8</v>
      </c>
      <c r="AH349" s="1"/>
      <c r="AI349" s="1">
        <f t="shared" ca="1" si="85"/>
        <v>0.25</v>
      </c>
      <c r="AJ349" s="1">
        <f t="shared" ca="1" si="86"/>
        <v>4</v>
      </c>
      <c r="AO349" s="1">
        <f t="shared" ca="1" si="88"/>
        <v>68</v>
      </c>
      <c r="AP349" s="1">
        <f t="shared" ca="1" si="89"/>
        <v>-273</v>
      </c>
      <c r="AS349" s="1">
        <f t="shared" ca="1" si="90"/>
        <v>47</v>
      </c>
      <c r="AV349" s="1">
        <f t="shared" ca="1" si="91"/>
        <v>-330</v>
      </c>
      <c r="AW349" s="1">
        <f t="shared" ca="1" si="92"/>
        <v>2</v>
      </c>
    </row>
    <row r="350" spans="4:49" x14ac:dyDescent="0.3">
      <c r="D350" t="str">
        <f t="shared" ca="1" si="84"/>
        <v/>
      </c>
      <c r="E350" t="str" cm="1">
        <f t="array" aca="1" ref="E350" ca="1">_xlfn.IFS(D350="","",D350="Starstone", VLOOKUP($BK$4,$BK$6:$BM$11,3)*AI353*AJ353, D350 = "Tristal", VLOOKUP($BK$14,$BK$16:$BM$24,3)*AI353*AJ353, 1=1, VLOOKUP(AO353,$AX$75:$AZ$174,3)*AI353*AJ353)</f>
        <v/>
      </c>
      <c r="F350" t="str" cm="1">
        <f t="array" aca="1" ref="F350" ca="1">IF(D350="","",_xlfn.IFS(AH353&gt;5,"Normal",AND(AH353&lt;=5,$BK$28&lt;=4),VLOOKUP(AF353,$BK$29:$BN$39,2),AND(AH353&lt;=5,$BK$28&gt;=9),VLOOKUP(AF353,$BK$29:$BN$39,2), 1=1, "Normal"))</f>
        <v/>
      </c>
      <c r="G350" t="str" cm="1">
        <f t="array" aca="1" ref="G350" ca="1">IF(D350="","",_xlfn.IFS(AH353&gt;5, "Normal", AND(AH353&lt;=5, $BL$28&lt;=8, $BL$28&gt;=5), VLOOKUP(AG353,$BK$29:$BN$39,3), AND(AH353&lt;=5,$BK$28&gt;=9), VLOOKUP(AG353,$BK$29:$BN$39,3), 1=1, "Normal"))</f>
        <v/>
      </c>
      <c r="H350" t="str">
        <f t="shared" ca="1" si="81"/>
        <v/>
      </c>
      <c r="I350" t="str">
        <f t="shared" ca="1" si="82"/>
        <v/>
      </c>
      <c r="K350" t="str" cm="1">
        <f t="array" aca="1" ref="K350" ca="1">IF(L350="","",(_xlfn.IFS(L350&gt;=15000,VLOOKUP(AW353,$BE$5:$BH$15,4),L350&gt;=4000,VLOOKUP(AW353,$BE$5:$BH$15,3),L350&gt;=100,VLOOKUP(AW353,$BE$5:$BH$15,2))))</f>
        <v/>
      </c>
      <c r="L350" t="str">
        <f t="shared" ca="1" si="83"/>
        <v/>
      </c>
      <c r="AF350" s="1">
        <f t="shared" ca="1" si="87"/>
        <v>9</v>
      </c>
      <c r="AG350" s="1">
        <f t="shared" ca="1" si="87"/>
        <v>7</v>
      </c>
      <c r="AH350" s="1"/>
      <c r="AI350" s="1">
        <f t="shared" ca="1" si="85"/>
        <v>4</v>
      </c>
      <c r="AJ350" s="1">
        <f t="shared" ca="1" si="86"/>
        <v>2</v>
      </c>
      <c r="AO350" s="1">
        <f t="shared" ca="1" si="88"/>
        <v>82</v>
      </c>
      <c r="AP350" s="1">
        <f t="shared" ca="1" si="89"/>
        <v>-274</v>
      </c>
      <c r="AS350" s="1">
        <f t="shared" ca="1" si="90"/>
        <v>51</v>
      </c>
      <c r="AV350" s="1">
        <f t="shared" ca="1" si="91"/>
        <v>-331</v>
      </c>
      <c r="AW350" s="1">
        <f t="shared" ca="1" si="92"/>
        <v>7</v>
      </c>
    </row>
    <row r="351" spans="4:49" x14ac:dyDescent="0.3">
      <c r="D351" t="str">
        <f t="shared" ca="1" si="84"/>
        <v/>
      </c>
      <c r="E351" t="str" cm="1">
        <f t="array" aca="1" ref="E351" ca="1">_xlfn.IFS(D351="","",D351="Starstone", VLOOKUP($BK$4,$BK$6:$BM$11,3)*AI354*AJ354, D351 = "Tristal", VLOOKUP($BK$14,$BK$16:$BM$24,3)*AI354*AJ354, 1=1, VLOOKUP(AO354,$AX$75:$AZ$174,3)*AI354*AJ354)</f>
        <v/>
      </c>
      <c r="F351" t="str" cm="1">
        <f t="array" aca="1" ref="F351" ca="1">IF(D351="","",_xlfn.IFS(AH354&gt;5,"Normal",AND(AH354&lt;=5,$BK$28&lt;=4),VLOOKUP(AF354,$BK$29:$BN$39,2),AND(AH354&lt;=5,$BK$28&gt;=9),VLOOKUP(AF354,$BK$29:$BN$39,2), 1=1, "Normal"))</f>
        <v/>
      </c>
      <c r="G351" t="str" cm="1">
        <f t="array" aca="1" ref="G351" ca="1">IF(D351="","",_xlfn.IFS(AH354&gt;5, "Normal", AND(AH354&lt;=5, $BL$28&lt;=8, $BL$28&gt;=5), VLOOKUP(AG354,$BK$29:$BN$39,3), AND(AH354&lt;=5,$BK$28&gt;=9), VLOOKUP(AG354,$BK$29:$BN$39,3), 1=1, "Normal"))</f>
        <v/>
      </c>
      <c r="H351" t="str">
        <f t="shared" ca="1" si="81"/>
        <v/>
      </c>
      <c r="I351" t="str">
        <f t="shared" ca="1" si="82"/>
        <v/>
      </c>
      <c r="K351" t="str" cm="1">
        <f t="array" aca="1" ref="K351" ca="1">IF(L351="","",(_xlfn.IFS(L351&gt;=15000,VLOOKUP(AW354,$BE$5:$BH$15,4),L351&gt;=4000,VLOOKUP(AW354,$BE$5:$BH$15,3),L351&gt;=100,VLOOKUP(AW354,$BE$5:$BH$15,2))))</f>
        <v/>
      </c>
      <c r="L351" t="str">
        <f t="shared" ca="1" si="83"/>
        <v/>
      </c>
      <c r="AF351" s="1">
        <f t="shared" ca="1" si="87"/>
        <v>10</v>
      </c>
      <c r="AG351" s="1">
        <f t="shared" ca="1" si="87"/>
        <v>10</v>
      </c>
      <c r="AH351" s="1"/>
      <c r="AI351" s="1">
        <f t="shared" ca="1" si="85"/>
        <v>8</v>
      </c>
      <c r="AJ351" s="1">
        <f t="shared" ca="1" si="86"/>
        <v>8</v>
      </c>
      <c r="AO351" s="1">
        <f t="shared" ca="1" si="88"/>
        <v>27</v>
      </c>
      <c r="AP351" s="1">
        <f t="shared" ca="1" si="89"/>
        <v>-275</v>
      </c>
      <c r="AS351" s="1">
        <f t="shared" ca="1" si="90"/>
        <v>51</v>
      </c>
      <c r="AV351" s="1">
        <f t="shared" ca="1" si="91"/>
        <v>-332</v>
      </c>
      <c r="AW351" s="1">
        <f t="shared" ca="1" si="92"/>
        <v>8</v>
      </c>
    </row>
    <row r="352" spans="4:49" x14ac:dyDescent="0.3">
      <c r="D352" t="str">
        <f t="shared" ca="1" si="84"/>
        <v/>
      </c>
      <c r="E352" t="str" cm="1">
        <f t="array" aca="1" ref="E352" ca="1">_xlfn.IFS(D352="","",D352="Starstone", VLOOKUP($BK$4,$BK$6:$BM$11,3)*AI355*AJ355, D352 = "Tristal", VLOOKUP($BK$14,$BK$16:$BM$24,3)*AI355*AJ355, 1=1, VLOOKUP(AO355,$AX$75:$AZ$174,3)*AI355*AJ355)</f>
        <v/>
      </c>
      <c r="F352" t="str" cm="1">
        <f t="array" aca="1" ref="F352" ca="1">IF(D352="","",_xlfn.IFS(AH355&gt;5,"Normal",AND(AH355&lt;=5,$BK$28&lt;=4),VLOOKUP(AF355,$BK$29:$BN$39,2),AND(AH355&lt;=5,$BK$28&gt;=9),VLOOKUP(AF355,$BK$29:$BN$39,2), 1=1, "Normal"))</f>
        <v/>
      </c>
      <c r="G352" t="str" cm="1">
        <f t="array" aca="1" ref="G352" ca="1">IF(D352="","",_xlfn.IFS(AH355&gt;5, "Normal", AND(AH355&lt;=5, $BL$28&lt;=8, $BL$28&gt;=5), VLOOKUP(AG355,$BK$29:$BN$39,3), AND(AH355&lt;=5,$BK$28&gt;=9), VLOOKUP(AG355,$BK$29:$BN$39,3), 1=1, "Normal"))</f>
        <v/>
      </c>
      <c r="H352" t="str">
        <f t="shared" ca="1" si="81"/>
        <v/>
      </c>
      <c r="I352" t="str">
        <f t="shared" ca="1" si="82"/>
        <v/>
      </c>
      <c r="K352" t="str" cm="1">
        <f t="array" aca="1" ref="K352" ca="1">IF(L352="","",(_xlfn.IFS(L352&gt;=15000,VLOOKUP(AW355,$BE$5:$BH$15,4),L352&gt;=4000,VLOOKUP(AW355,$BE$5:$BH$15,3),L352&gt;=100,VLOOKUP(AW355,$BE$5:$BH$15,2))))</f>
        <v/>
      </c>
      <c r="L352" t="str">
        <f t="shared" ca="1" si="83"/>
        <v/>
      </c>
      <c r="AF352" s="1">
        <f t="shared" ca="1" si="87"/>
        <v>8</v>
      </c>
      <c r="AG352" s="1">
        <f t="shared" ca="1" si="87"/>
        <v>3</v>
      </c>
      <c r="AH352" s="1"/>
      <c r="AI352" s="1">
        <f t="shared" ca="1" si="85"/>
        <v>4</v>
      </c>
      <c r="AJ352" s="1">
        <f t="shared" ca="1" si="86"/>
        <v>0.25</v>
      </c>
      <c r="AO352" s="1">
        <f t="shared" ca="1" si="88"/>
        <v>48</v>
      </c>
      <c r="AP352" s="1">
        <f t="shared" ca="1" si="89"/>
        <v>-276</v>
      </c>
      <c r="AS352" s="1">
        <f t="shared" ca="1" si="90"/>
        <v>5</v>
      </c>
      <c r="AV352" s="1">
        <f t="shared" ca="1" si="91"/>
        <v>-333</v>
      </c>
      <c r="AW352" s="1">
        <f t="shared" ca="1" si="92"/>
        <v>3</v>
      </c>
    </row>
    <row r="353" spans="4:49" x14ac:dyDescent="0.3">
      <c r="D353" t="str">
        <f t="shared" ca="1" si="84"/>
        <v/>
      </c>
      <c r="E353" t="str" cm="1">
        <f t="array" aca="1" ref="E353" ca="1">_xlfn.IFS(D353="","",D353="Starstone", VLOOKUP($BK$4,$BK$6:$BM$11,3)*AI356*AJ356, D353 = "Tristal", VLOOKUP($BK$14,$BK$16:$BM$24,3)*AI356*AJ356, 1=1, VLOOKUP(AO356,$AX$75:$AZ$174,3)*AI356*AJ356)</f>
        <v/>
      </c>
      <c r="F353" t="str" cm="1">
        <f t="array" aca="1" ref="F353" ca="1">IF(D353="","",_xlfn.IFS(AH356&gt;5,"Normal",AND(AH356&lt;=5,$BK$28&lt;=4),VLOOKUP(AF356,$BK$29:$BN$39,2),AND(AH356&lt;=5,$BK$28&gt;=9),VLOOKUP(AF356,$BK$29:$BN$39,2), 1=1, "Normal"))</f>
        <v/>
      </c>
      <c r="G353" t="str" cm="1">
        <f t="array" aca="1" ref="G353" ca="1">IF(D353="","",_xlfn.IFS(AH356&gt;5, "Normal", AND(AH356&lt;=5, $BL$28&lt;=8, $BL$28&gt;=5), VLOOKUP(AG356,$BK$29:$BN$39,3), AND(AH356&lt;=5,$BK$28&gt;=9), VLOOKUP(AG356,$BK$29:$BN$39,3), 1=1, "Normal"))</f>
        <v/>
      </c>
      <c r="H353" t="str">
        <f t="shared" ca="1" si="81"/>
        <v/>
      </c>
      <c r="I353" t="str">
        <f t="shared" ca="1" si="82"/>
        <v/>
      </c>
      <c r="K353" t="str" cm="1">
        <f t="array" ref="K353">IF(L353="","",(_xlfn.IFS(L353&gt;=15000,VLOOKUP(AW356,$BE$5:$BH$15,4),L353&gt;=4000,VLOOKUP(AW356,$BE$5:$BH$15,3),L353&gt;=100,VLOOKUP(AW356,$BE$5:$BH$15,2))))</f>
        <v/>
      </c>
      <c r="L353" t="str">
        <f t="shared" si="83"/>
        <v/>
      </c>
      <c r="AF353" s="1">
        <f t="shared" ca="1" si="87"/>
        <v>4</v>
      </c>
      <c r="AG353" s="1">
        <f t="shared" ca="1" si="87"/>
        <v>3</v>
      </c>
      <c r="AH353" s="1"/>
      <c r="AI353" s="1">
        <f t="shared" ca="1" si="85"/>
        <v>0.5</v>
      </c>
      <c r="AJ353" s="1">
        <f t="shared" ca="1" si="86"/>
        <v>0.25</v>
      </c>
      <c r="AO353" s="1">
        <f t="shared" ca="1" si="88"/>
        <v>17</v>
      </c>
      <c r="AP353" s="1">
        <f t="shared" ca="1" si="89"/>
        <v>-277</v>
      </c>
      <c r="AS353" s="1">
        <f t="shared" ca="1" si="90"/>
        <v>42</v>
      </c>
      <c r="AV353" s="1">
        <f t="shared" ca="1" si="91"/>
        <v>-334</v>
      </c>
      <c r="AW353" s="1">
        <f t="shared" ca="1" si="92"/>
        <v>4</v>
      </c>
    </row>
    <row r="354" spans="4:49" x14ac:dyDescent="0.3">
      <c r="D354" t="str">
        <f t="shared" ca="1" si="84"/>
        <v/>
      </c>
      <c r="E354" t="str" cm="1">
        <f t="array" aca="1" ref="E354" ca="1">_xlfn.IFS(D354="","",D354="Starstone", VLOOKUP($BK$4,$BK$6:$BM$11,3)*AI357*AJ357, D354 = "Tristal", VLOOKUP($BK$14,$BK$16:$BM$24,3)*AI357*AJ357, 1=1, VLOOKUP(AO357,$AX$75:$AZ$174,3)*AI357*AJ357)</f>
        <v/>
      </c>
      <c r="F354" t="str" cm="1">
        <f t="array" aca="1" ref="F354" ca="1">IF(D354="","",_xlfn.IFS(AH357&gt;5,"Normal",AND(AH357&lt;=5,$BK$28&lt;=4),VLOOKUP(AF357,$BK$29:$BN$39,2),AND(AH357&lt;=5,$BK$28&gt;=9),VLOOKUP(AF357,$BK$29:$BN$39,2), 1=1, "Normal"))</f>
        <v/>
      </c>
      <c r="G354" t="str" cm="1">
        <f t="array" aca="1" ref="G354" ca="1">IF(D354="","",_xlfn.IFS(AH357&gt;5, "Normal", AND(AH357&lt;=5, $BL$28&lt;=8, $BL$28&gt;=5), VLOOKUP(AG357,$BK$29:$BN$39,3), AND(AH357&lt;=5,$BK$28&gt;=9), VLOOKUP(AG357,$BK$29:$BN$39,3), 1=1, "Normal"))</f>
        <v/>
      </c>
      <c r="H354" t="str">
        <f t="shared" ca="1" si="81"/>
        <v/>
      </c>
      <c r="I354" t="str">
        <f t="shared" ca="1" si="82"/>
        <v/>
      </c>
      <c r="K354" t="str" cm="1">
        <f t="array" ref="K354">IF(L354="","",(_xlfn.IFS(L354&gt;=15000,VLOOKUP(AW357,$BE$5:$BH$15,4),L354&gt;=4000,VLOOKUP(AW357,$BE$5:$BH$15,3),L354&gt;=100,VLOOKUP(AW357,$BE$5:$BH$15,2))))</f>
        <v/>
      </c>
      <c r="L354" t="str">
        <f t="shared" si="83"/>
        <v/>
      </c>
      <c r="AF354" s="1">
        <f t="shared" ca="1" si="87"/>
        <v>2</v>
      </c>
      <c r="AG354" s="1">
        <f t="shared" ca="1" si="87"/>
        <v>10</v>
      </c>
      <c r="AH354" s="1"/>
      <c r="AI354" s="1">
        <f t="shared" ca="1" si="85"/>
        <v>0.25</v>
      </c>
      <c r="AJ354" s="1">
        <f t="shared" ca="1" si="86"/>
        <v>8</v>
      </c>
      <c r="AO354" s="1">
        <f t="shared" ca="1" si="88"/>
        <v>60</v>
      </c>
      <c r="AP354" s="1">
        <f t="shared" ca="1" si="89"/>
        <v>-278</v>
      </c>
      <c r="AS354" s="1">
        <f t="shared" ca="1" si="90"/>
        <v>73</v>
      </c>
      <c r="AV354" s="1">
        <f t="shared" ca="1" si="91"/>
        <v>-335</v>
      </c>
      <c r="AW354" s="1">
        <f t="shared" ca="1" si="92"/>
        <v>8</v>
      </c>
    </row>
    <row r="355" spans="4:49" x14ac:dyDescent="0.3">
      <c r="D355" t="str">
        <f t="shared" ca="1" si="84"/>
        <v/>
      </c>
      <c r="E355" t="str" cm="1">
        <f t="array" aca="1" ref="E355" ca="1">_xlfn.IFS(D355="","",D355="Starstone", VLOOKUP($BK$4,$BK$6:$BM$11,3)*AI358*AJ358, D355 = "Tristal", VLOOKUP($BK$14,$BK$16:$BM$24,3)*AI358*AJ358, 1=1, VLOOKUP(AO358,$AX$75:$AZ$174,3)*AI358*AJ358)</f>
        <v/>
      </c>
      <c r="F355" t="str" cm="1">
        <f t="array" aca="1" ref="F355" ca="1">IF(D355="","",_xlfn.IFS(AH358&gt;5,"Normal",AND(AH358&lt;=5,$BK$28&lt;=4),VLOOKUP(AF358,$BK$29:$BN$39,2),AND(AH358&lt;=5,$BK$28&gt;=9),VLOOKUP(AF358,$BK$29:$BN$39,2), 1=1, "Normal"))</f>
        <v/>
      </c>
      <c r="G355" t="str" cm="1">
        <f t="array" aca="1" ref="G355" ca="1">IF(D355="","",_xlfn.IFS(AH358&gt;5, "Normal", AND(AH358&lt;=5, $BL$28&lt;=8, $BL$28&gt;=5), VLOOKUP(AG358,$BK$29:$BN$39,3), AND(AH358&lt;=5,$BK$28&gt;=9), VLOOKUP(AG358,$BK$29:$BN$39,3), 1=1, "Normal"))</f>
        <v/>
      </c>
      <c r="H355" t="str">
        <f t="shared" ca="1" si="81"/>
        <v/>
      </c>
      <c r="I355" t="str">
        <f t="shared" ca="1" si="82"/>
        <v/>
      </c>
      <c r="K355" t="str" cm="1">
        <f t="array" ref="K355">IF(L355="","",(_xlfn.IFS(L355&gt;=15000,VLOOKUP(AW358,$BE$5:$BH$15,4),L355&gt;=4000,VLOOKUP(AW358,$BE$5:$BH$15,3),L355&gt;=100,VLOOKUP(AW358,$BE$5:$BH$15,2))))</f>
        <v/>
      </c>
      <c r="L355" t="str">
        <f t="shared" si="83"/>
        <v/>
      </c>
      <c r="AF355" s="1">
        <f t="shared" ca="1" si="87"/>
        <v>10</v>
      </c>
      <c r="AG355" s="1">
        <f t="shared" ca="1" si="87"/>
        <v>5</v>
      </c>
      <c r="AH355" s="1"/>
      <c r="AI355" s="1">
        <f t="shared" ca="1" si="85"/>
        <v>8</v>
      </c>
      <c r="AJ355" s="1">
        <f t="shared" ca="1" si="86"/>
        <v>0.5</v>
      </c>
      <c r="AO355" s="1">
        <f t="shared" ca="1" si="88"/>
        <v>61</v>
      </c>
      <c r="AP355" s="1">
        <f t="shared" ca="1" si="89"/>
        <v>-279</v>
      </c>
      <c r="AS355" s="1">
        <f t="shared" ca="1" si="90"/>
        <v>33</v>
      </c>
      <c r="AW355">
        <f t="shared" ca="1" si="92"/>
        <v>3</v>
      </c>
    </row>
    <row r="356" spans="4:49" x14ac:dyDescent="0.3">
      <c r="D356" t="str">
        <f t="shared" ca="1" si="84"/>
        <v/>
      </c>
      <c r="E356" t="str" cm="1">
        <f t="array" aca="1" ref="E356" ca="1">_xlfn.IFS(D356="","",D356="Starstone", VLOOKUP($BK$4,$BK$6:$BM$11,3)*AI359*AJ359, D356 = "Tristal", VLOOKUP($BK$14,$BK$16:$BM$24,3)*AI359*AJ359, 1=1, VLOOKUP(AO359,$AX$75:$AZ$174,3)*AI359*AJ359)</f>
        <v/>
      </c>
      <c r="F356" t="str" cm="1">
        <f t="array" aca="1" ref="F356" ca="1">IF(D356="","",_xlfn.IFS(AH359&gt;5,"Normal",AND(AH359&lt;=5,$BK$28&lt;=4),VLOOKUP(AF359,$BK$29:$BN$39,2),AND(AH359&lt;=5,$BK$28&gt;=9),VLOOKUP(AF359,$BK$29:$BN$39,2), 1=1, "Normal"))</f>
        <v/>
      </c>
      <c r="G356" t="str" cm="1">
        <f t="array" aca="1" ref="G356" ca="1">IF(D356="","",_xlfn.IFS(AH359&gt;5, "Normal", AND(AH359&lt;=5, $BL$28&lt;=8, $BL$28&gt;=5), VLOOKUP(AG359,$BK$29:$BN$39,3), AND(AH359&lt;=5,$BK$28&gt;=9), VLOOKUP(AG359,$BK$29:$BN$39,3), 1=1, "Normal"))</f>
        <v/>
      </c>
      <c r="H356" t="str">
        <f t="shared" ca="1" si="81"/>
        <v/>
      </c>
      <c r="I356" t="str">
        <f t="shared" ca="1" si="82"/>
        <v/>
      </c>
      <c r="K356" t="str" cm="1">
        <f t="array" ref="K356">IF(L356="","",(_xlfn.IFS(L356&gt;=15000,VLOOKUP(AW359,$BE$5:$BH$15,4),L356&gt;=4000,VLOOKUP(AW359,$BE$5:$BH$15,3),L356&gt;=100,VLOOKUP(AW359,$BE$5:$BH$15,2))))</f>
        <v/>
      </c>
      <c r="L356" t="str">
        <f t="shared" si="83"/>
        <v/>
      </c>
      <c r="AF356" s="1">
        <f t="shared" ca="1" si="87"/>
        <v>3</v>
      </c>
      <c r="AG356" s="1">
        <f t="shared" ca="1" si="87"/>
        <v>10</v>
      </c>
      <c r="AH356" s="1"/>
      <c r="AI356" s="1">
        <f t="shared" ca="1" si="85"/>
        <v>0.25</v>
      </c>
      <c r="AJ356" s="1">
        <f t="shared" ca="1" si="86"/>
        <v>8</v>
      </c>
      <c r="AO356" s="1">
        <f t="shared" ca="1" si="88"/>
        <v>100</v>
      </c>
      <c r="AP356" s="1">
        <f t="shared" ca="1" si="89"/>
        <v>-280</v>
      </c>
      <c r="AS356" s="1">
        <f t="shared" ca="1" si="90"/>
        <v>88</v>
      </c>
      <c r="AW356">
        <f t="shared" ca="1" si="92"/>
        <v>6</v>
      </c>
    </row>
    <row r="357" spans="4:49" x14ac:dyDescent="0.3">
      <c r="D357" t="str">
        <f t="shared" ca="1" si="84"/>
        <v/>
      </c>
      <c r="E357" t="str" cm="1">
        <f t="array" aca="1" ref="E357" ca="1">_xlfn.IFS(D357="","",D357="Starstone", VLOOKUP($BK$4,$BK$6:$BM$11,3)*AI360*AJ360, D357 = "Tristal", VLOOKUP($BK$14,$BK$16:$BM$24,3)*AI360*AJ360, 1=1, VLOOKUP(AO360,$AX$75:$AZ$174,3)*AI360*AJ360)</f>
        <v/>
      </c>
      <c r="F357" t="str" cm="1">
        <f t="array" aca="1" ref="F357" ca="1">IF(D357="","",_xlfn.IFS(AH360&gt;5,"Normal",AND(AH360&lt;=5,$BK$28&lt;=4),VLOOKUP(AF360,$BK$29:$BN$39,2),AND(AH360&lt;=5,$BK$28&gt;=9),VLOOKUP(AF360,$BK$29:$BN$39,2), 1=1, "Normal"))</f>
        <v/>
      </c>
      <c r="G357" t="str" cm="1">
        <f t="array" aca="1" ref="G357" ca="1">IF(D357="","",_xlfn.IFS(AH360&gt;5, "Normal", AND(AH360&lt;=5, $BL$28&lt;=8, $BL$28&gt;=5), VLOOKUP(AG360,$BK$29:$BN$39,3), AND(AH360&lt;=5,$BK$28&gt;=9), VLOOKUP(AG360,$BK$29:$BN$39,3), 1=1, "Normal"))</f>
        <v/>
      </c>
      <c r="H357" t="str">
        <f t="shared" ca="1" si="81"/>
        <v/>
      </c>
      <c r="I357" t="str">
        <f t="shared" ca="1" si="82"/>
        <v/>
      </c>
      <c r="K357" t="str" cm="1">
        <f t="array" ref="K357">IF(L357="","",(_xlfn.IFS(L357&gt;=15000,VLOOKUP(AW360,$BE$5:$BH$15,4),L357&gt;=4000,VLOOKUP(AW360,$BE$5:$BH$15,3),L357&gt;=100,VLOOKUP(AW360,$BE$5:$BH$15,2))))</f>
        <v/>
      </c>
      <c r="L357" t="str">
        <f t="shared" si="83"/>
        <v/>
      </c>
      <c r="AF357" s="1">
        <f t="shared" ca="1" si="87"/>
        <v>3</v>
      </c>
      <c r="AG357" s="1">
        <f t="shared" ca="1" si="87"/>
        <v>3</v>
      </c>
      <c r="AH357" s="1"/>
      <c r="AI357" s="1">
        <f t="shared" ca="1" si="85"/>
        <v>0.25</v>
      </c>
      <c r="AJ357" s="1">
        <f t="shared" ca="1" si="86"/>
        <v>0.25</v>
      </c>
      <c r="AO357" s="1">
        <f t="shared" ca="1" si="88"/>
        <v>91</v>
      </c>
      <c r="AP357" s="1">
        <f t="shared" ca="1" si="89"/>
        <v>-281</v>
      </c>
      <c r="AS357" s="1">
        <f t="shared" ca="1" si="90"/>
        <v>26</v>
      </c>
      <c r="AW357">
        <f t="shared" ca="1" si="92"/>
        <v>7</v>
      </c>
    </row>
    <row r="358" spans="4:49" x14ac:dyDescent="0.3">
      <c r="AF358" s="1">
        <f t="shared" ca="1" si="87"/>
        <v>3</v>
      </c>
      <c r="AG358" s="1">
        <f t="shared" ca="1" si="87"/>
        <v>2</v>
      </c>
      <c r="AH358" s="1"/>
      <c r="AI358" s="1">
        <f t="shared" ca="1" si="85"/>
        <v>0.25</v>
      </c>
      <c r="AJ358" s="1">
        <f t="shared" ca="1" si="86"/>
        <v>0.25</v>
      </c>
      <c r="AO358" s="1">
        <f t="shared" ca="1" si="88"/>
        <v>67</v>
      </c>
      <c r="AP358" s="1">
        <f t="shared" ca="1" si="89"/>
        <v>-282</v>
      </c>
      <c r="AS358" s="1">
        <f t="shared" ca="1" si="90"/>
        <v>70</v>
      </c>
      <c r="AW358">
        <f t="shared" ca="1" si="92"/>
        <v>4</v>
      </c>
    </row>
    <row r="359" spans="4:49" x14ac:dyDescent="0.3">
      <c r="AF359" s="1">
        <f t="shared" ca="1" si="87"/>
        <v>9</v>
      </c>
      <c r="AG359" s="1">
        <f t="shared" ca="1" si="87"/>
        <v>10</v>
      </c>
      <c r="AH359" s="1"/>
      <c r="AI359" s="1">
        <f t="shared" ca="1" si="85"/>
        <v>4</v>
      </c>
      <c r="AJ359" s="1">
        <f t="shared" ca="1" si="86"/>
        <v>8</v>
      </c>
      <c r="AO359" s="1">
        <f t="shared" ca="1" si="88"/>
        <v>86</v>
      </c>
      <c r="AP359" s="1">
        <f t="shared" ca="1" si="89"/>
        <v>-283</v>
      </c>
      <c r="AS359" s="1">
        <f t="shared" ca="1" si="90"/>
        <v>5</v>
      </c>
      <c r="AW359">
        <f t="shared" ca="1" si="92"/>
        <v>4</v>
      </c>
    </row>
    <row r="360" spans="4:49" x14ac:dyDescent="0.3">
      <c r="AF360" s="1">
        <f t="shared" ca="1" si="87"/>
        <v>4</v>
      </c>
      <c r="AG360" s="1">
        <f t="shared" ca="1" si="87"/>
        <v>7</v>
      </c>
      <c r="AH360" s="1"/>
      <c r="AI360" s="1">
        <f t="shared" ca="1" si="85"/>
        <v>0.5</v>
      </c>
      <c r="AJ360" s="1">
        <f t="shared" ca="1" si="86"/>
        <v>2</v>
      </c>
      <c r="AO360" s="1">
        <f t="shared" ca="1" si="88"/>
        <v>35</v>
      </c>
      <c r="AP360" s="1">
        <f t="shared" ca="1" si="89"/>
        <v>-284</v>
      </c>
      <c r="AS360" s="1">
        <f t="shared" ca="1" si="90"/>
        <v>48</v>
      </c>
      <c r="AW360">
        <f t="shared" ca="1" si="92"/>
        <v>4</v>
      </c>
    </row>
  </sheetData>
  <phoneticPr fontId="1" type="noConversion"/>
  <pageMargins left="0.7" right="0.7" top="0.75" bottom="0.75" header="0.3" footer="0.3"/>
  <pageSetup paperSize="3003" orientation="portrait" horizontalDpi="0" verticalDpi="0" r:id="rId1"/>
  <ignoredErrors>
    <ignoredError sqref="BA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F7A5-F111-460E-89D1-26062B4B8B24}">
  <dimension ref="A1:AV119"/>
  <sheetViews>
    <sheetView workbookViewId="0">
      <selection activeCell="B29" sqref="B29"/>
    </sheetView>
  </sheetViews>
  <sheetFormatPr defaultColWidth="17.44140625" defaultRowHeight="14.4" x14ac:dyDescent="0.3"/>
  <cols>
    <col min="1" max="1" width="5.5546875" customWidth="1"/>
    <col min="2" max="2" width="16.109375" customWidth="1"/>
    <col min="3" max="3" width="18.5546875" style="13" customWidth="1"/>
    <col min="4" max="4" width="2.77734375" bestFit="1" customWidth="1"/>
    <col min="5" max="5" width="40.33203125" customWidth="1"/>
    <col min="6" max="6" width="2.77734375" bestFit="1" customWidth="1"/>
    <col min="7" max="7" width="40.88671875" customWidth="1"/>
    <col min="8" max="8" width="2.77734375" bestFit="1" customWidth="1"/>
    <col min="9" max="9" width="31.5546875" customWidth="1"/>
    <col min="10" max="10" width="65" style="1" customWidth="1"/>
    <col min="11" max="11" width="21" customWidth="1"/>
    <col min="22" max="22" width="9.5546875" customWidth="1"/>
    <col min="23" max="23" width="10.77734375" customWidth="1"/>
    <col min="24" max="24" width="9.88671875" customWidth="1"/>
    <col min="26" max="26" width="9.109375" customWidth="1"/>
    <col min="30" max="30" width="4.6640625" customWidth="1"/>
    <col min="31" max="31" width="3.77734375" customWidth="1"/>
    <col min="34" max="35" width="6.5546875" customWidth="1"/>
  </cols>
  <sheetData>
    <row r="1" spans="1:48" ht="15" thickBot="1" x14ac:dyDescent="0.35">
      <c r="A1" s="37" t="s">
        <v>156</v>
      </c>
      <c r="B1" s="37" t="s">
        <v>528</v>
      </c>
      <c r="C1" s="38" t="s">
        <v>529</v>
      </c>
      <c r="D1" s="39" t="s">
        <v>583</v>
      </c>
      <c r="E1" s="39" t="s">
        <v>530</v>
      </c>
      <c r="F1" s="39" t="s">
        <v>583</v>
      </c>
      <c r="G1" s="39" t="s">
        <v>530</v>
      </c>
      <c r="H1" s="39" t="s">
        <v>583</v>
      </c>
      <c r="I1" s="40" t="s">
        <v>530</v>
      </c>
      <c r="K1" s="1" t="s">
        <v>581</v>
      </c>
      <c r="L1" s="1" t="s">
        <v>582</v>
      </c>
      <c r="M1" s="1" t="s">
        <v>572</v>
      </c>
      <c r="N1" t="s">
        <v>530</v>
      </c>
      <c r="O1" t="s">
        <v>572</v>
      </c>
      <c r="P1" t="s">
        <v>530</v>
      </c>
      <c r="Q1" t="s">
        <v>586</v>
      </c>
      <c r="R1" t="s">
        <v>530</v>
      </c>
    </row>
    <row r="2" spans="1:48" x14ac:dyDescent="0.3">
      <c r="A2" s="13">
        <v>1</v>
      </c>
      <c r="B2" t="str">
        <f ca="1">VLOOKUP(K2,'Lair Treasures'!$CU$5:$CV$104,2)</f>
        <v>Clerical</v>
      </c>
      <c r="C2" s="13">
        <f ca="1">VLOOKUP(L2,'Lair Treasures'!$CX$5:$CY$104,2)</f>
        <v>2</v>
      </c>
      <c r="D2">
        <f ca="1">IF(C2&gt;0, VLOOKUP(M2, INDIRECT(VLOOKUP(B2,$S$2:$T$4,2)), 2), "")</f>
        <v>2</v>
      </c>
      <c r="E2" t="str">
        <f ca="1">IF(D2="", "", VLOOKUP(N2, INDIRECT(VLOOKUP(B2,$S$11:$T$13,2)), 2))</f>
        <v>Speak With Animal</v>
      </c>
      <c r="F2">
        <f ca="1">IF(C2&gt;1, VLOOKUP(O2, INDIRECT(VLOOKUP(B2,$S$2:$T$4,2)), 2), "")</f>
        <v>2</v>
      </c>
      <c r="G2" t="str">
        <f ca="1">IF(F2="", "", VLOOKUP(P2, INDIRECT(VLOOKUP(B2,$S$11:$T$13,2)), 2))</f>
        <v>Find Traps</v>
      </c>
      <c r="H2" t="str">
        <f ca="1">IF(C2&gt;2, VLOOKUP(Q2, INDIRECT(VLOOKUP(B2,$S$2:$T$4,2)), 2), "")</f>
        <v/>
      </c>
      <c r="I2" t="str">
        <f ca="1">IF(H2="", "", VLOOKUP(R2, INDIRECT(VLOOKUP(B2,$S$11:$T$13,2)), 2))</f>
        <v/>
      </c>
      <c r="K2" s="1">
        <f ca="1">RANDBETWEEN(1,100)</f>
        <v>84</v>
      </c>
      <c r="L2" s="1">
        <f ca="1">RANDBETWEEN(1,100)</f>
        <v>65</v>
      </c>
      <c r="M2" s="1">
        <f ca="1">RANDBETWEEN(1,100)</f>
        <v>46</v>
      </c>
      <c r="N2" cm="1">
        <f t="array" aca="1" ref="N2" ca="1">_xlfn.IFS(B2="Magical", RANDBETWEEN(VLOOKUP(D2,$AL$3:$AN$11,2), VLOOKUP(D2,$AL$3:$AN$11,3)), B2 = "Clerical", RANDBETWEEN(VLOOKUP(D2,$AP$3:$AR$9,2), VLOOKUP(D2,$AP$3:$AR$9,3)), B2 = "Druidic", RANDBETWEEN(VLOOKUP(D2, $AT$3:$AV$9,2), VLOOKUP(D2, $AT$3:$AV$9,3)), 1=1, "")</f>
        <v>16</v>
      </c>
      <c r="O2">
        <f ca="1">RANDBETWEEN(1,100)</f>
        <v>36</v>
      </c>
      <c r="P2" cm="1">
        <f t="array" aca="1" ref="P2" ca="1">_xlfn.IFS(B2="Magical", RANDBETWEEN(VLOOKUP(F2,$AL$3:$AN$11,2), VLOOKUP(F2,$AL$3:$AN$11,3)), B2 = "Clerical", RANDBETWEEN(VLOOKUP(F2,$AP$3:$AR$9,2), VLOOKUP(F2,$AP$3:$AR$9,3)), B2 = "Druidic", RANDBETWEEN(VLOOKUP(F2, $AT$3:$AV$9,2), VLOOKUP(F2, $AT$3:$AV$9,3)), 1=1, "")</f>
        <v>10</v>
      </c>
      <c r="Q2">
        <f ca="1">RANDBETWEEN(1,100)</f>
        <v>6</v>
      </c>
      <c r="R2" t="e" cm="1">
        <f t="array" aca="1" ref="R2" ca="1">_xlfn.IFS(B2="Magical", RANDBETWEEN(VLOOKUP(H2,$AL$3:$AN$11,2), VLOOKUP(H2,$AL$3:$AN$11,3)), B2 = "Clerical", RANDBETWEEN(VLOOKUP(H2,$AP$3:$AR$9,2), VLOOKUP(H2,$AP$3:$AR$9,3)), B2 = "Druidic", RANDBETWEEN(VLOOKUP(H2, $AT$3:$AV$9,2), VLOOKUP(H2, $AT$3:$AV$9,3)), 1=1, "")</f>
        <v>#N/A</v>
      </c>
      <c r="S2" t="s">
        <v>341</v>
      </c>
      <c r="T2" t="s">
        <v>749</v>
      </c>
      <c r="V2" t="s">
        <v>344</v>
      </c>
      <c r="Y2" t="s">
        <v>345</v>
      </c>
      <c r="AB2" t="s">
        <v>18</v>
      </c>
      <c r="AF2" t="s">
        <v>9</v>
      </c>
      <c r="AI2" t="s">
        <v>10</v>
      </c>
      <c r="AL2" t="s">
        <v>18</v>
      </c>
      <c r="AM2" t="s">
        <v>584</v>
      </c>
      <c r="AN2" t="s">
        <v>585</v>
      </c>
      <c r="AP2" t="s">
        <v>9</v>
      </c>
      <c r="AQ2" t="s">
        <v>584</v>
      </c>
      <c r="AR2" t="s">
        <v>585</v>
      </c>
      <c r="AT2" t="s">
        <v>10</v>
      </c>
      <c r="AU2" t="s">
        <v>584</v>
      </c>
      <c r="AV2" t="s">
        <v>585</v>
      </c>
    </row>
    <row r="3" spans="1:48" x14ac:dyDescent="0.3">
      <c r="A3" s="29">
        <v>2</v>
      </c>
      <c r="B3" s="28" t="str">
        <f ca="1">VLOOKUP(K3,'Lair Treasures'!$CU$5:$CV$104,2)</f>
        <v>Magical</v>
      </c>
      <c r="C3" s="29">
        <f ca="1">VLOOKUP(L3,'Lair Treasures'!$CX$5:$CY$104,2)</f>
        <v>2</v>
      </c>
      <c r="D3" s="28">
        <f t="shared" ref="D3:D20" ca="1" si="0">IF(C3&gt;0, VLOOKUP(M3, INDIRECT(VLOOKUP(B3,$S$2:$T$4,2)), 2), "")</f>
        <v>2</v>
      </c>
      <c r="E3" s="28" t="str">
        <f t="shared" ref="E3:E20" ca="1" si="1">IF(D3="", "", VLOOKUP(N3, INDIRECT(VLOOKUP(B3,$S$11:$T$13,2)), 2))</f>
        <v>Mirror Image</v>
      </c>
      <c r="F3" s="28">
        <f t="shared" ref="F3:F20" ca="1" si="2">IF(C3&gt;1, VLOOKUP(O3, INDIRECT(VLOOKUP(B3,$S$2:$T$4,2)), 2), "")</f>
        <v>2</v>
      </c>
      <c r="G3" s="28" t="str">
        <f t="shared" ref="G3:G20" ca="1" si="3">IF(F3="", "", VLOOKUP(P3, INDIRECT(VLOOKUP(B3,$S$11:$T$13,2)), 2))</f>
        <v>Mirror Image</v>
      </c>
      <c r="H3" s="28" t="str">
        <f t="shared" ref="H3:H20" ca="1" si="4">IF(C3&gt;2, VLOOKUP(Q3, INDIRECT(VLOOKUP(B3,$S$2:$T$4,2)), 2), "")</f>
        <v/>
      </c>
      <c r="I3" s="28" t="str">
        <f t="shared" ref="I3:I20" ca="1" si="5">IF(H3="", "", VLOOKUP(R3, INDIRECT(VLOOKUP(B3,$S$11:$T$13,2)), 2))</f>
        <v/>
      </c>
      <c r="K3" s="1">
        <f t="shared" ref="K3:M21" ca="1" si="6">RANDBETWEEN(1,100)</f>
        <v>12</v>
      </c>
      <c r="L3" s="1">
        <f t="shared" ca="1" si="6"/>
        <v>63</v>
      </c>
      <c r="M3" s="1">
        <f t="shared" ca="1" si="6"/>
        <v>48</v>
      </c>
      <c r="N3" cm="1">
        <f t="array" aca="1" ref="N3" ca="1">_xlfn.IFS(B3="Magical", RANDBETWEEN(VLOOKUP(D3,$AL$3:$AN$11,2), VLOOKUP(D3,$AL$3:$AN$11,3)), B3 = "Clerical", RANDBETWEEN(VLOOKUP(D3,$AP$3:$AR$9,2), VLOOKUP(D3,$AP$3:$AR$9,3)), B3 = "Druidic", RANDBETWEEN(VLOOKUP(D3, $AT$3:$AV$9,2), VLOOKUP(D3, $AT$3:$AV$9,3)), 1=1, "")</f>
        <v>23</v>
      </c>
      <c r="O3">
        <f t="shared" ref="O3:O21" ca="1" si="7">RANDBETWEEN(1,100)</f>
        <v>31</v>
      </c>
      <c r="P3" cm="1">
        <f t="array" aca="1" ref="P3" ca="1">_xlfn.IFS(B3="Magical", RANDBETWEEN(VLOOKUP(F3,$AL$3:$AN$11,2), VLOOKUP(F3,$AL$3:$AN$11,3)), B3 = "Clerical", RANDBETWEEN(VLOOKUP(F3,$AP$3:$AR$9,2), VLOOKUP(F3,$AP$3:$AR$9,3)), B3 = "Druidic", RANDBETWEEN(VLOOKUP(F3, $AT$3:$AV$9,2), VLOOKUP(F3, $AT$3:$AV$9,3)), 1=1, "")</f>
        <v>23</v>
      </c>
      <c r="Q3">
        <f t="shared" ref="Q3:Q21" ca="1" si="8">RANDBETWEEN(1,100)</f>
        <v>37</v>
      </c>
      <c r="R3" t="e" cm="1">
        <f t="array" aca="1" ref="R3" ca="1">_xlfn.IFS(B3="Magical", RANDBETWEEN(VLOOKUP(H3,$AL$3:$AN$11,2), VLOOKUP(H3,$AL$3:$AN$11,3)), B3 = "Clerical", RANDBETWEEN(VLOOKUP(H3,$AP$3:$AR$9,2), VLOOKUP(H3,$AP$3:$AR$9,3)), B3 = "Druidic", RANDBETWEEN(VLOOKUP(H3, $AT$3:$AV$9,2), VLOOKUP(H3, $AT$3:$AV$9,3)), 1=1, "")</f>
        <v>#N/A</v>
      </c>
      <c r="S3" t="s">
        <v>340</v>
      </c>
      <c r="T3" t="s">
        <v>750</v>
      </c>
      <c r="V3">
        <v>1</v>
      </c>
      <c r="W3">
        <v>1</v>
      </c>
      <c r="Y3">
        <v>1</v>
      </c>
      <c r="Z3">
        <v>1</v>
      </c>
      <c r="AB3">
        <v>1</v>
      </c>
      <c r="AC3" t="s">
        <v>348</v>
      </c>
      <c r="AF3">
        <v>1</v>
      </c>
      <c r="AG3" t="s">
        <v>457</v>
      </c>
      <c r="AI3">
        <v>1</v>
      </c>
      <c r="AJ3" t="s">
        <v>503</v>
      </c>
      <c r="AL3">
        <v>1</v>
      </c>
      <c r="AM3">
        <v>1</v>
      </c>
      <c r="AN3">
        <v>13</v>
      </c>
      <c r="AP3">
        <v>1</v>
      </c>
      <c r="AQ3">
        <v>1</v>
      </c>
      <c r="AR3">
        <v>8</v>
      </c>
      <c r="AT3">
        <v>1</v>
      </c>
      <c r="AU3">
        <v>1</v>
      </c>
      <c r="AV3">
        <v>4</v>
      </c>
    </row>
    <row r="4" spans="1:48" x14ac:dyDescent="0.3">
      <c r="A4" s="13">
        <v>3</v>
      </c>
      <c r="B4" t="str">
        <f ca="1">VLOOKUP(K4,'Lair Treasures'!$CU$5:$CV$104,2)</f>
        <v>Magical</v>
      </c>
      <c r="C4" s="13">
        <f ca="1">VLOOKUP(L4,'Lair Treasures'!$CX$5:$CY$104,2)</f>
        <v>1</v>
      </c>
      <c r="D4">
        <f t="shared" ca="1" si="0"/>
        <v>1</v>
      </c>
      <c r="E4" t="str">
        <f t="shared" ca="1" si="1"/>
        <v>Read Languages</v>
      </c>
      <c r="F4" t="str">
        <f t="shared" ca="1" si="2"/>
        <v/>
      </c>
      <c r="G4" t="str">
        <f t="shared" ca="1" si="3"/>
        <v/>
      </c>
      <c r="H4" t="str">
        <f t="shared" ca="1" si="4"/>
        <v/>
      </c>
      <c r="I4" t="str">
        <f t="shared" ca="1" si="5"/>
        <v/>
      </c>
      <c r="K4" s="1">
        <f t="shared" ca="1" si="6"/>
        <v>19</v>
      </c>
      <c r="L4" s="1">
        <f t="shared" ca="1" si="6"/>
        <v>36</v>
      </c>
      <c r="M4" s="1">
        <f t="shared" ca="1" si="6"/>
        <v>1</v>
      </c>
      <c r="N4" cm="1">
        <f t="array" aca="1" ref="N4" ca="1">_xlfn.IFS(B4="Magical", RANDBETWEEN(VLOOKUP(D4,$AL$3:$AN$11,2), VLOOKUP(D4,$AL$3:$AN$11,3)), B4 = "Clerical", RANDBETWEEN(VLOOKUP(D4,$AP$3:$AR$9,2), VLOOKUP(D4,$AP$3:$AR$9,3)), B4 = "Druidic", RANDBETWEEN(VLOOKUP(D4, $AT$3:$AV$9,2), VLOOKUP(D4, $AT$3:$AV$9,3)), 1=1, "")</f>
        <v>9</v>
      </c>
      <c r="O4">
        <f t="shared" ca="1" si="7"/>
        <v>62</v>
      </c>
      <c r="P4" t="e" cm="1">
        <f t="array" aca="1" ref="P4" ca="1">_xlfn.IFS(B4="Magical", RANDBETWEEN(VLOOKUP(F4,$AL$3:$AN$11,2), VLOOKUP(F4,$AL$3:$AN$11,3)), B4 = "Clerical", RANDBETWEEN(VLOOKUP(F4,$AP$3:$AR$9,2), VLOOKUP(F4,$AP$3:$AR$9,3)), B4 = "Druidic", RANDBETWEEN(VLOOKUP(F4, $AT$3:$AV$9,2), VLOOKUP(F4, $AT$3:$AV$9,3)), 1=1, "")</f>
        <v>#N/A</v>
      </c>
      <c r="Q4">
        <f t="shared" ca="1" si="8"/>
        <v>90</v>
      </c>
      <c r="R4" t="e" cm="1">
        <f t="array" aca="1" ref="R4" ca="1">_xlfn.IFS(B4="Magical", RANDBETWEEN(VLOOKUP(H4,$AL$3:$AN$11,2), VLOOKUP(H4,$AL$3:$AN$11,3)), B4 = "Clerical", RANDBETWEEN(VLOOKUP(H4,$AP$3:$AR$9,2), VLOOKUP(H4,$AP$3:$AR$9,3)), B4 = "Druidic", RANDBETWEEN(VLOOKUP(H4, $AT$3:$AV$9,2), VLOOKUP(H4, $AT$3:$AV$9,3)), 1=1, "")</f>
        <v>#N/A</v>
      </c>
      <c r="S4" t="s">
        <v>342</v>
      </c>
      <c r="T4" t="s">
        <v>749</v>
      </c>
      <c r="V4">
        <v>2</v>
      </c>
      <c r="W4">
        <v>1</v>
      </c>
      <c r="Y4">
        <v>2</v>
      </c>
      <c r="Z4">
        <v>1</v>
      </c>
      <c r="AB4">
        <v>2</v>
      </c>
      <c r="AC4" t="s">
        <v>349</v>
      </c>
      <c r="AF4">
        <v>2</v>
      </c>
      <c r="AG4" t="s">
        <v>362</v>
      </c>
      <c r="AI4">
        <v>2</v>
      </c>
      <c r="AJ4" t="s">
        <v>504</v>
      </c>
      <c r="AL4">
        <v>2</v>
      </c>
      <c r="AM4">
        <f>AM3+13</f>
        <v>14</v>
      </c>
      <c r="AN4">
        <f>AN3+13</f>
        <v>26</v>
      </c>
      <c r="AP4">
        <v>2</v>
      </c>
      <c r="AQ4">
        <f>AQ3+8</f>
        <v>9</v>
      </c>
      <c r="AR4">
        <f>AR3+8</f>
        <v>16</v>
      </c>
      <c r="AT4">
        <v>2</v>
      </c>
      <c r="AU4">
        <f>AU3+4</f>
        <v>5</v>
      </c>
      <c r="AV4">
        <f>AV3+4</f>
        <v>8</v>
      </c>
    </row>
    <row r="5" spans="1:48" x14ac:dyDescent="0.3">
      <c r="A5" s="29">
        <v>4</v>
      </c>
      <c r="B5" s="28" t="str">
        <f ca="1">VLOOKUP(K5,'Lair Treasures'!$CU$5:$CV$104,2)</f>
        <v>Clerical</v>
      </c>
      <c r="C5" s="29">
        <f ca="1">VLOOKUP(L5,'Lair Treasures'!$CX$5:$CY$104,2)</f>
        <v>3</v>
      </c>
      <c r="D5" s="28">
        <f t="shared" ca="1" si="0"/>
        <v>3</v>
      </c>
      <c r="E5" s="28" t="str">
        <f t="shared" ca="1" si="1"/>
        <v>Remove Curse</v>
      </c>
      <c r="F5" s="28">
        <f t="shared" ca="1" si="2"/>
        <v>5</v>
      </c>
      <c r="G5" s="28" t="str">
        <f t="shared" ca="1" si="3"/>
        <v>Commune</v>
      </c>
      <c r="H5" s="28">
        <f t="shared" ca="1" si="4"/>
        <v>1</v>
      </c>
      <c r="I5" s="28" t="str">
        <f t="shared" ca="1" si="5"/>
        <v>Cure Light Wounds</v>
      </c>
      <c r="K5" s="1">
        <f t="shared" ca="1" si="6"/>
        <v>77</v>
      </c>
      <c r="L5" s="1">
        <f t="shared" ca="1" si="6"/>
        <v>87</v>
      </c>
      <c r="M5" s="1">
        <f t="shared" ca="1" si="6"/>
        <v>59</v>
      </c>
      <c r="N5" cm="1">
        <f t="array" aca="1" ref="N5" ca="1">_xlfn.IFS(B5="Magical", RANDBETWEEN(VLOOKUP(D5,$AL$3:$AN$11,2), VLOOKUP(D5,$AL$3:$AN$11,3)), B5 = "Clerical", RANDBETWEEN(VLOOKUP(D5,$AP$3:$AR$9,2), VLOOKUP(D5,$AP$3:$AR$9,3)), B5 = "Druidic", RANDBETWEEN(VLOOKUP(D5, $AT$3:$AV$9,2), VLOOKUP(D5, $AT$3:$AV$9,3)), 1=1, "")</f>
        <v>22</v>
      </c>
      <c r="O5">
        <f t="shared" ca="1" si="7"/>
        <v>92</v>
      </c>
      <c r="P5" cm="1">
        <f t="array" aca="1" ref="P5" ca="1">_xlfn.IFS(B5="Magical", RANDBETWEEN(VLOOKUP(F5,$AL$3:$AN$11,2), VLOOKUP(F5,$AL$3:$AN$11,3)), B5 = "Clerical", RANDBETWEEN(VLOOKUP(F5,$AP$3:$AR$9,2), VLOOKUP(F5,$AP$3:$AR$9,3)), B5 = "Druidic", RANDBETWEEN(VLOOKUP(F5, $AT$3:$AV$9,2), VLOOKUP(F5, $AT$3:$AV$9,3)), 1=1, "")</f>
        <v>33</v>
      </c>
      <c r="Q5">
        <f t="shared" ca="1" si="8"/>
        <v>19</v>
      </c>
      <c r="R5" cm="1">
        <f t="array" aca="1" ref="R5" ca="1">_xlfn.IFS(B5="Magical", RANDBETWEEN(VLOOKUP(H5,$AL$3:$AN$11,2), VLOOKUP(H5,$AL$3:$AN$11,3)), B5 = "Clerical", RANDBETWEEN(VLOOKUP(H5,$AP$3:$AR$9,2), VLOOKUP(H5,$AP$3:$AR$9,3)), B5 = "Druidic", RANDBETWEEN(VLOOKUP(H5, $AT$3:$AV$9,2), VLOOKUP(H5, $AT$3:$AV$9,3)), 1=1, "")</f>
        <v>1</v>
      </c>
      <c r="V5">
        <v>3</v>
      </c>
      <c r="W5">
        <v>1</v>
      </c>
      <c r="Y5">
        <v>3</v>
      </c>
      <c r="Z5">
        <v>1</v>
      </c>
      <c r="AB5">
        <v>3</v>
      </c>
      <c r="AC5" t="s">
        <v>350</v>
      </c>
      <c r="AF5">
        <v>3</v>
      </c>
      <c r="AG5" t="s">
        <v>350</v>
      </c>
      <c r="AI5">
        <v>3</v>
      </c>
      <c r="AJ5" t="s">
        <v>505</v>
      </c>
      <c r="AL5">
        <v>3</v>
      </c>
      <c r="AM5">
        <f t="shared" ref="AM5:AM11" si="9">AM4+13</f>
        <v>27</v>
      </c>
      <c r="AN5">
        <f t="shared" ref="AN5:AN11" si="10">AN4+13</f>
        <v>39</v>
      </c>
      <c r="AP5">
        <v>3</v>
      </c>
      <c r="AQ5">
        <f t="shared" ref="AQ5:AQ9" si="11">AQ4+8</f>
        <v>17</v>
      </c>
      <c r="AR5">
        <f t="shared" ref="AR5:AR9" si="12">AR4+8</f>
        <v>24</v>
      </c>
      <c r="AT5">
        <v>3</v>
      </c>
      <c r="AU5">
        <f t="shared" ref="AU5:AU9" si="13">AU4+4</f>
        <v>9</v>
      </c>
      <c r="AV5">
        <f t="shared" ref="AV5:AV9" si="14">AV4+4</f>
        <v>12</v>
      </c>
    </row>
    <row r="6" spans="1:48" x14ac:dyDescent="0.3">
      <c r="A6" s="13">
        <v>5</v>
      </c>
      <c r="B6" t="str">
        <f ca="1">VLOOKUP(K6,'Lair Treasures'!$CU$5:$CV$104,2)</f>
        <v>Clerical</v>
      </c>
      <c r="C6" s="13">
        <f ca="1">VLOOKUP(L6,'Lair Treasures'!$CX$5:$CY$104,2)</f>
        <v>1</v>
      </c>
      <c r="D6">
        <f t="shared" ca="1" si="0"/>
        <v>1</v>
      </c>
      <c r="E6" t="str">
        <f t="shared" ca="1" si="1"/>
        <v>Remove Fear</v>
      </c>
      <c r="F6" t="str">
        <f t="shared" ca="1" si="2"/>
        <v/>
      </c>
      <c r="G6" t="str">
        <f t="shared" ca="1" si="3"/>
        <v/>
      </c>
      <c r="H6" t="str">
        <f t="shared" ca="1" si="4"/>
        <v/>
      </c>
      <c r="I6" t="str">
        <f t="shared" ca="1" si="5"/>
        <v/>
      </c>
      <c r="K6" s="1">
        <f t="shared" ca="1" si="6"/>
        <v>84</v>
      </c>
      <c r="L6" s="1">
        <f t="shared" ca="1" si="6"/>
        <v>33</v>
      </c>
      <c r="M6" s="1">
        <f t="shared" ca="1" si="6"/>
        <v>18</v>
      </c>
      <c r="N6" cm="1">
        <f t="array" aca="1" ref="N6" ca="1">_xlfn.IFS(B6="Magical", RANDBETWEEN(VLOOKUP(D6,$AL$3:$AN$11,2), VLOOKUP(D6,$AL$3:$AN$11,3)), B6 = "Clerical", RANDBETWEEN(VLOOKUP(D6,$AP$3:$AR$9,2), VLOOKUP(D6,$AP$3:$AR$9,3)), B6 = "Druidic", RANDBETWEEN(VLOOKUP(D6, $AT$3:$AV$9,2), VLOOKUP(D6, $AT$3:$AV$9,3)), 1=1, "")</f>
        <v>7</v>
      </c>
      <c r="O6">
        <f t="shared" ca="1" si="7"/>
        <v>84</v>
      </c>
      <c r="P6" t="e" cm="1">
        <f t="array" aca="1" ref="P6" ca="1">_xlfn.IFS(B6="Magical", RANDBETWEEN(VLOOKUP(F6,$AL$3:$AN$11,2), VLOOKUP(F6,$AL$3:$AN$11,3)), B6 = "Clerical", RANDBETWEEN(VLOOKUP(F6,$AP$3:$AR$9,2), VLOOKUP(F6,$AP$3:$AR$9,3)), B6 = "Druidic", RANDBETWEEN(VLOOKUP(F6, $AT$3:$AV$9,2), VLOOKUP(F6, $AT$3:$AV$9,3)), 1=1, "")</f>
        <v>#N/A</v>
      </c>
      <c r="Q6">
        <f t="shared" ca="1" si="8"/>
        <v>86</v>
      </c>
      <c r="R6" t="e" cm="1">
        <f t="array" aca="1" ref="R6" ca="1">_xlfn.IFS(B6="Magical", RANDBETWEEN(VLOOKUP(H6,$AL$3:$AN$11,2), VLOOKUP(H6,$AL$3:$AN$11,3)), B6 = "Clerical", RANDBETWEEN(VLOOKUP(H6,$AP$3:$AR$9,2), VLOOKUP(H6,$AP$3:$AR$9,3)), B6 = "Druidic", RANDBETWEEN(VLOOKUP(H6, $AT$3:$AV$9,2), VLOOKUP(H6, $AT$3:$AV$9,3)), 1=1, "")</f>
        <v>#N/A</v>
      </c>
      <c r="V6">
        <v>4</v>
      </c>
      <c r="W6">
        <v>1</v>
      </c>
      <c r="Y6">
        <v>4</v>
      </c>
      <c r="Z6">
        <v>1</v>
      </c>
      <c r="AB6">
        <v>4</v>
      </c>
      <c r="AC6" t="s">
        <v>351</v>
      </c>
      <c r="AF6">
        <v>4</v>
      </c>
      <c r="AG6" t="s">
        <v>458</v>
      </c>
      <c r="AI6">
        <v>4</v>
      </c>
      <c r="AJ6" t="s">
        <v>506</v>
      </c>
      <c r="AL6">
        <v>4</v>
      </c>
      <c r="AM6">
        <f t="shared" si="9"/>
        <v>40</v>
      </c>
      <c r="AN6">
        <f t="shared" si="10"/>
        <v>52</v>
      </c>
      <c r="AP6">
        <v>4</v>
      </c>
      <c r="AQ6">
        <f t="shared" si="11"/>
        <v>25</v>
      </c>
      <c r="AR6">
        <f t="shared" si="12"/>
        <v>32</v>
      </c>
      <c r="AT6">
        <v>4</v>
      </c>
      <c r="AU6">
        <f t="shared" si="13"/>
        <v>13</v>
      </c>
      <c r="AV6">
        <f t="shared" si="14"/>
        <v>16</v>
      </c>
    </row>
    <row r="7" spans="1:48" x14ac:dyDescent="0.3">
      <c r="A7" s="29">
        <v>6</v>
      </c>
      <c r="B7" s="28" t="str">
        <f ca="1">VLOOKUP(K7,'Lair Treasures'!$CU$5:$CV$104,2)</f>
        <v>Magical</v>
      </c>
      <c r="C7" s="29">
        <f ca="1">VLOOKUP(L7,'Lair Treasures'!$CX$5:$CY$104,2)</f>
        <v>2</v>
      </c>
      <c r="D7" s="28">
        <f t="shared" ca="1" si="0"/>
        <v>1</v>
      </c>
      <c r="E7" s="28" t="str">
        <f t="shared" ca="1" si="1"/>
        <v>Sleep</v>
      </c>
      <c r="F7" s="28">
        <f t="shared" ca="1" si="2"/>
        <v>5</v>
      </c>
      <c r="G7" s="28" t="str">
        <f t="shared" ca="1" si="3"/>
        <v>Woodform</v>
      </c>
      <c r="H7" s="28" t="str">
        <f t="shared" ca="1" si="4"/>
        <v/>
      </c>
      <c r="I7" s="28" t="str">
        <f t="shared" ca="1" si="5"/>
        <v/>
      </c>
      <c r="K7" s="1">
        <f t="shared" ca="1" si="6"/>
        <v>56</v>
      </c>
      <c r="L7" s="1">
        <f t="shared" ca="1" si="6"/>
        <v>55</v>
      </c>
      <c r="M7" s="1">
        <f t="shared" ca="1" si="6"/>
        <v>12</v>
      </c>
      <c r="N7" cm="1">
        <f t="array" aca="1" ref="N7" ca="1">_xlfn.IFS(B7="Magical", RANDBETWEEN(VLOOKUP(D7,$AL$3:$AN$11,2), VLOOKUP(D7,$AL$3:$AN$11,3)), B7 = "Clerical", RANDBETWEEN(VLOOKUP(D7,$AP$3:$AR$9,2), VLOOKUP(D7,$AP$3:$AR$9,3)), B7 = "Druidic", RANDBETWEEN(VLOOKUP(D7, $AT$3:$AV$9,2), VLOOKUP(D7, $AT$3:$AV$9,3)), 1=1, "")</f>
        <v>12</v>
      </c>
      <c r="O7">
        <f t="shared" ca="1" si="7"/>
        <v>79</v>
      </c>
      <c r="P7" cm="1">
        <f t="array" aca="1" ref="P7" ca="1">_xlfn.IFS(B7="Magical", RANDBETWEEN(VLOOKUP(F7,$AL$3:$AN$11,2), VLOOKUP(F7,$AL$3:$AN$11,3)), B7 = "Clerical", RANDBETWEEN(VLOOKUP(F7,$AP$3:$AR$9,2), VLOOKUP(F7,$AP$3:$AR$9,3)), B7 = "Druidic", RANDBETWEEN(VLOOKUP(F7, $AT$3:$AV$9,2), VLOOKUP(F7, $AT$3:$AV$9,3)), 1=1, "")</f>
        <v>65</v>
      </c>
      <c r="Q7">
        <f t="shared" ca="1" si="8"/>
        <v>55</v>
      </c>
      <c r="R7" t="e" cm="1">
        <f t="array" aca="1" ref="R7" ca="1">_xlfn.IFS(B7="Magical", RANDBETWEEN(VLOOKUP(H7,$AL$3:$AN$11,2), VLOOKUP(H7,$AL$3:$AN$11,3)), B7 = "Clerical", RANDBETWEEN(VLOOKUP(H7,$AP$3:$AR$9,2), VLOOKUP(H7,$AP$3:$AR$9,3)), B7 = "Druidic", RANDBETWEEN(VLOOKUP(H7, $AT$3:$AV$9,2), VLOOKUP(H7, $AT$3:$AV$9,3)), 1=1, "")</f>
        <v>#N/A</v>
      </c>
      <c r="V7">
        <v>5</v>
      </c>
      <c r="W7">
        <v>1</v>
      </c>
      <c r="Y7">
        <v>5</v>
      </c>
      <c r="Z7">
        <v>1</v>
      </c>
      <c r="AB7">
        <v>5</v>
      </c>
      <c r="AC7" t="s">
        <v>352</v>
      </c>
      <c r="AF7">
        <v>5</v>
      </c>
      <c r="AG7" t="s">
        <v>355</v>
      </c>
      <c r="AI7">
        <v>5</v>
      </c>
      <c r="AJ7" t="s">
        <v>507</v>
      </c>
      <c r="AL7">
        <v>5</v>
      </c>
      <c r="AM7">
        <f t="shared" si="9"/>
        <v>53</v>
      </c>
      <c r="AN7">
        <f t="shared" si="10"/>
        <v>65</v>
      </c>
      <c r="AP7">
        <v>5</v>
      </c>
      <c r="AQ7">
        <f t="shared" si="11"/>
        <v>33</v>
      </c>
      <c r="AR7">
        <f t="shared" si="12"/>
        <v>40</v>
      </c>
      <c r="AT7">
        <v>5</v>
      </c>
      <c r="AU7">
        <f t="shared" si="13"/>
        <v>17</v>
      </c>
      <c r="AV7">
        <f t="shared" si="14"/>
        <v>20</v>
      </c>
    </row>
    <row r="8" spans="1:48" x14ac:dyDescent="0.3">
      <c r="A8" s="13">
        <v>7</v>
      </c>
      <c r="B8" t="str">
        <f ca="1">VLOOKUP(K8,'Lair Treasures'!$CU$5:$CV$104,2)</f>
        <v>Magical</v>
      </c>
      <c r="C8" s="13">
        <f ca="1">VLOOKUP(L8,'Lair Treasures'!$CX$5:$CY$104,2)</f>
        <v>1</v>
      </c>
      <c r="D8">
        <f t="shared" ca="1" si="0"/>
        <v>1</v>
      </c>
      <c r="E8" t="str">
        <f t="shared" ca="1" si="1"/>
        <v>Sleep</v>
      </c>
      <c r="F8" t="str">
        <f t="shared" ca="1" si="2"/>
        <v/>
      </c>
      <c r="G8" t="str">
        <f t="shared" ca="1" si="3"/>
        <v/>
      </c>
      <c r="H8" t="str">
        <f t="shared" ca="1" si="4"/>
        <v/>
      </c>
      <c r="I8" t="str">
        <f t="shared" ca="1" si="5"/>
        <v/>
      </c>
      <c r="K8" s="1">
        <f t="shared" ca="1" si="6"/>
        <v>32</v>
      </c>
      <c r="L8" s="1">
        <f t="shared" ca="1" si="6"/>
        <v>4</v>
      </c>
      <c r="M8" s="1">
        <f t="shared" ca="1" si="6"/>
        <v>11</v>
      </c>
      <c r="N8" cm="1">
        <f t="array" aca="1" ref="N8" ca="1">_xlfn.IFS(B8="Magical", RANDBETWEEN(VLOOKUP(D8,$AL$3:$AN$11,2), VLOOKUP(D8,$AL$3:$AN$11,3)), B8 = "Clerical", RANDBETWEEN(VLOOKUP(D8,$AP$3:$AR$9,2), VLOOKUP(D8,$AP$3:$AR$9,3)), B8 = "Druidic", RANDBETWEEN(VLOOKUP(D8, $AT$3:$AV$9,2), VLOOKUP(D8, $AT$3:$AV$9,3)), 1=1, "")</f>
        <v>12</v>
      </c>
      <c r="O8">
        <f t="shared" ca="1" si="7"/>
        <v>17</v>
      </c>
      <c r="P8" t="e" cm="1">
        <f t="array" aca="1" ref="P8" ca="1">_xlfn.IFS(B8="Magical", RANDBETWEEN(VLOOKUP(F8,$AL$3:$AN$11,2), VLOOKUP(F8,$AL$3:$AN$11,3)), B8 = "Clerical", RANDBETWEEN(VLOOKUP(F8,$AP$3:$AR$9,2), VLOOKUP(F8,$AP$3:$AR$9,3)), B8 = "Druidic", RANDBETWEEN(VLOOKUP(F8, $AT$3:$AV$9,2), VLOOKUP(F8, $AT$3:$AV$9,3)), 1=1, "")</f>
        <v>#N/A</v>
      </c>
      <c r="Q8">
        <f t="shared" ca="1" si="8"/>
        <v>59</v>
      </c>
      <c r="R8" t="e" cm="1">
        <f t="array" aca="1" ref="R8" ca="1">_xlfn.IFS(B8="Magical", RANDBETWEEN(VLOOKUP(H8,$AL$3:$AN$11,2), VLOOKUP(H8,$AL$3:$AN$11,3)), B8 = "Clerical", RANDBETWEEN(VLOOKUP(H8,$AP$3:$AR$9,2), VLOOKUP(H8,$AP$3:$AR$9,3)), B8 = "Druidic", RANDBETWEEN(VLOOKUP(H8, $AT$3:$AV$9,2), VLOOKUP(H8, $AT$3:$AV$9,3)), 1=1, "")</f>
        <v>#N/A</v>
      </c>
      <c r="V8">
        <v>6</v>
      </c>
      <c r="W8">
        <v>1</v>
      </c>
      <c r="Y8">
        <v>6</v>
      </c>
      <c r="Z8">
        <v>1</v>
      </c>
      <c r="AB8">
        <v>6</v>
      </c>
      <c r="AC8" t="s">
        <v>353</v>
      </c>
      <c r="AF8">
        <v>6</v>
      </c>
      <c r="AG8" t="s">
        <v>459</v>
      </c>
      <c r="AI8">
        <v>6</v>
      </c>
      <c r="AJ8" t="s">
        <v>508</v>
      </c>
      <c r="AL8">
        <v>6</v>
      </c>
      <c r="AM8">
        <f t="shared" si="9"/>
        <v>66</v>
      </c>
      <c r="AN8">
        <f t="shared" si="10"/>
        <v>78</v>
      </c>
      <c r="AP8">
        <v>6</v>
      </c>
      <c r="AQ8">
        <f t="shared" si="11"/>
        <v>41</v>
      </c>
      <c r="AR8">
        <f t="shared" si="12"/>
        <v>48</v>
      </c>
      <c r="AT8">
        <v>6</v>
      </c>
      <c r="AU8">
        <f t="shared" si="13"/>
        <v>21</v>
      </c>
      <c r="AV8">
        <f t="shared" si="14"/>
        <v>24</v>
      </c>
    </row>
    <row r="9" spans="1:48" x14ac:dyDescent="0.3">
      <c r="A9" s="29">
        <v>8</v>
      </c>
      <c r="B9" s="28" t="str">
        <f ca="1">VLOOKUP(K9,'Lair Treasures'!$CU$5:$CV$104,2)</f>
        <v>Magical</v>
      </c>
      <c r="C9" s="29">
        <f ca="1">VLOOKUP(L9,'Lair Treasures'!$CX$5:$CY$104,2)</f>
        <v>1</v>
      </c>
      <c r="D9" s="28">
        <f t="shared" ca="1" si="0"/>
        <v>3</v>
      </c>
      <c r="E9" s="28" t="str">
        <f t="shared" ca="1" si="1"/>
        <v>Lightnin Bolt</v>
      </c>
      <c r="F9" s="28" t="str">
        <f t="shared" ca="1" si="2"/>
        <v/>
      </c>
      <c r="G9" s="28" t="str">
        <f t="shared" ca="1" si="3"/>
        <v/>
      </c>
      <c r="H9" s="28" t="str">
        <f t="shared" ca="1" si="4"/>
        <v/>
      </c>
      <c r="I9" s="28" t="str">
        <f t="shared" ca="1" si="5"/>
        <v/>
      </c>
      <c r="K9" s="1">
        <f t="shared" ca="1" si="6"/>
        <v>9</v>
      </c>
      <c r="L9" s="1">
        <f t="shared" ca="1" si="6"/>
        <v>19</v>
      </c>
      <c r="M9" s="1">
        <f t="shared" ca="1" si="6"/>
        <v>58</v>
      </c>
      <c r="N9" cm="1">
        <f t="array" aca="1" ref="N9" ca="1">_xlfn.IFS(B9="Magical", RANDBETWEEN(VLOOKUP(D9,$AL$3:$AN$11,2), VLOOKUP(D9,$AL$3:$AN$11,3)), B9 = "Clerical", RANDBETWEEN(VLOOKUP(D9,$AP$3:$AR$9,2), VLOOKUP(D9,$AP$3:$AR$9,3)), B9 = "Druidic", RANDBETWEEN(VLOOKUP(D9, $AT$3:$AV$9,2), VLOOKUP(D9, $AT$3:$AV$9,3)), 1=1, "")</f>
        <v>36</v>
      </c>
      <c r="O9">
        <f t="shared" ca="1" si="7"/>
        <v>1</v>
      </c>
      <c r="P9" t="e" cm="1">
        <f t="array" aca="1" ref="P9" ca="1">_xlfn.IFS(B9="Magical", RANDBETWEEN(VLOOKUP(F9,$AL$3:$AN$11,2), VLOOKUP(F9,$AL$3:$AN$11,3)), B9 = "Clerical", RANDBETWEEN(VLOOKUP(F9,$AP$3:$AR$9,2), VLOOKUP(F9,$AP$3:$AR$9,3)), B9 = "Druidic", RANDBETWEEN(VLOOKUP(F9, $AT$3:$AV$9,2), VLOOKUP(F9, $AT$3:$AV$9,3)), 1=1, "")</f>
        <v>#N/A</v>
      </c>
      <c r="Q9">
        <f t="shared" ca="1" si="8"/>
        <v>87</v>
      </c>
      <c r="R9" t="e" cm="1">
        <f t="array" aca="1" ref="R9" ca="1">_xlfn.IFS(B9="Magical", RANDBETWEEN(VLOOKUP(H9,$AL$3:$AN$11,2), VLOOKUP(H9,$AL$3:$AN$11,3)), B9 = "Clerical", RANDBETWEEN(VLOOKUP(H9,$AP$3:$AR$9,2), VLOOKUP(H9,$AP$3:$AR$9,3)), B9 = "Druidic", RANDBETWEEN(VLOOKUP(H9, $AT$3:$AV$9,2), VLOOKUP(H9, $AT$3:$AV$9,3)), 1=1, "")</f>
        <v>#N/A</v>
      </c>
      <c r="V9">
        <v>7</v>
      </c>
      <c r="W9">
        <v>1</v>
      </c>
      <c r="Y9">
        <v>7</v>
      </c>
      <c r="Z9">
        <v>1</v>
      </c>
      <c r="AB9">
        <v>7</v>
      </c>
      <c r="AC9" t="s">
        <v>354</v>
      </c>
      <c r="AF9">
        <v>7</v>
      </c>
      <c r="AG9" t="s">
        <v>460</v>
      </c>
      <c r="AI9">
        <v>7</v>
      </c>
      <c r="AJ9" t="s">
        <v>509</v>
      </c>
      <c r="AL9">
        <v>7</v>
      </c>
      <c r="AM9">
        <f t="shared" si="9"/>
        <v>79</v>
      </c>
      <c r="AN9">
        <f t="shared" si="10"/>
        <v>91</v>
      </c>
      <c r="AP9">
        <v>7</v>
      </c>
      <c r="AQ9">
        <f t="shared" si="11"/>
        <v>49</v>
      </c>
      <c r="AR9">
        <f t="shared" si="12"/>
        <v>56</v>
      </c>
      <c r="AT9">
        <v>7</v>
      </c>
      <c r="AU9">
        <f t="shared" si="13"/>
        <v>25</v>
      </c>
      <c r="AV9">
        <f t="shared" si="14"/>
        <v>28</v>
      </c>
    </row>
    <row r="10" spans="1:48" x14ac:dyDescent="0.3">
      <c r="A10" s="13">
        <v>9</v>
      </c>
      <c r="B10" t="str">
        <f ca="1">VLOOKUP(K10,'Lair Treasures'!$CU$5:$CV$104,2)</f>
        <v>Magical</v>
      </c>
      <c r="C10" s="13">
        <f ca="1">VLOOKUP(L10,'Lair Treasures'!$CX$5:$CY$104,2)</f>
        <v>1</v>
      </c>
      <c r="D10">
        <f t="shared" ca="1" si="0"/>
        <v>8</v>
      </c>
      <c r="E10" t="str">
        <f t="shared" ca="1" si="1"/>
        <v>Permancence</v>
      </c>
      <c r="F10" t="str">
        <f t="shared" ca="1" si="2"/>
        <v/>
      </c>
      <c r="G10" t="str">
        <f t="shared" ca="1" si="3"/>
        <v/>
      </c>
      <c r="H10" t="str">
        <f t="shared" ca="1" si="4"/>
        <v/>
      </c>
      <c r="I10" t="str">
        <f t="shared" ca="1" si="5"/>
        <v/>
      </c>
      <c r="K10" s="1">
        <f t="shared" ca="1" si="6"/>
        <v>14</v>
      </c>
      <c r="L10" s="1">
        <f t="shared" ca="1" si="6"/>
        <v>31</v>
      </c>
      <c r="M10" s="1">
        <f t="shared" ca="1" si="6"/>
        <v>99</v>
      </c>
      <c r="N10" cm="1">
        <f t="array" aca="1" ref="N10" ca="1">_xlfn.IFS(B10="Magical", RANDBETWEEN(VLOOKUP(D10,$AL$3:$AN$11,2), VLOOKUP(D10,$AL$3:$AN$11,3)), B10 = "Clerical", RANDBETWEEN(VLOOKUP(D10,$AP$3:$AR$9,2), VLOOKUP(D10,$AP$3:$AR$9,3)), B10 = "Druidic", RANDBETWEEN(VLOOKUP(D10, $AT$3:$AV$9,2), VLOOKUP(D10, $AT$3:$AV$9,3)), 1=1, "")</f>
        <v>99</v>
      </c>
      <c r="O10">
        <f t="shared" ca="1" si="7"/>
        <v>95</v>
      </c>
      <c r="P10" t="e" cm="1">
        <f t="array" aca="1" ref="P10" ca="1">_xlfn.IFS(B10="Magical", RANDBETWEEN(VLOOKUP(F10,$AL$3:$AN$11,2), VLOOKUP(F10,$AL$3:$AN$11,3)), B10 = "Clerical", RANDBETWEEN(VLOOKUP(F10,$AP$3:$AR$9,2), VLOOKUP(F10,$AP$3:$AR$9,3)), B10 = "Druidic", RANDBETWEEN(VLOOKUP(F10, $AT$3:$AV$9,2), VLOOKUP(F10, $AT$3:$AV$9,3)), 1=1, "")</f>
        <v>#N/A</v>
      </c>
      <c r="Q10">
        <f t="shared" ca="1" si="8"/>
        <v>99</v>
      </c>
      <c r="R10" t="e" cm="1">
        <f t="array" aca="1" ref="R10" ca="1">_xlfn.IFS(B10="Magical", RANDBETWEEN(VLOOKUP(H10,$AL$3:$AN$11,2), VLOOKUP(H10,$AL$3:$AN$11,3)), B10 = "Clerical", RANDBETWEEN(VLOOKUP(H10,$AP$3:$AR$9,2), VLOOKUP(H10,$AP$3:$AR$9,3)), B10 = "Druidic", RANDBETWEEN(VLOOKUP(H10, $AT$3:$AV$9,2), VLOOKUP(H10, $AT$3:$AV$9,3)), 1=1, "")</f>
        <v>#N/A</v>
      </c>
      <c r="V10">
        <v>8</v>
      </c>
      <c r="W10">
        <v>1</v>
      </c>
      <c r="Y10">
        <v>8</v>
      </c>
      <c r="Z10">
        <v>1</v>
      </c>
      <c r="AB10">
        <v>8</v>
      </c>
      <c r="AC10" t="s">
        <v>355</v>
      </c>
      <c r="AF10">
        <v>8</v>
      </c>
      <c r="AG10" t="s">
        <v>461</v>
      </c>
      <c r="AI10">
        <v>8</v>
      </c>
      <c r="AJ10" t="s">
        <v>510</v>
      </c>
      <c r="AL10">
        <v>8</v>
      </c>
      <c r="AM10">
        <f t="shared" si="9"/>
        <v>92</v>
      </c>
      <c r="AN10">
        <f t="shared" si="10"/>
        <v>104</v>
      </c>
    </row>
    <row r="11" spans="1:48" x14ac:dyDescent="0.3">
      <c r="A11" s="29">
        <v>10</v>
      </c>
      <c r="B11" s="28" t="str">
        <f ca="1">VLOOKUP(K11,'Lair Treasures'!$CU$5:$CV$104,2)</f>
        <v>Magical</v>
      </c>
      <c r="C11" s="29">
        <f ca="1">VLOOKUP(L11,'Lair Treasures'!$CX$5:$CY$104,2)</f>
        <v>2</v>
      </c>
      <c r="D11" s="28">
        <f t="shared" ca="1" si="0"/>
        <v>4</v>
      </c>
      <c r="E11" s="28" t="str">
        <f t="shared" ca="1" si="1"/>
        <v>Growth of Plants</v>
      </c>
      <c r="F11" s="28">
        <f t="shared" ca="1" si="2"/>
        <v>2</v>
      </c>
      <c r="G11" s="28" t="str">
        <f t="shared" ca="1" si="3"/>
        <v>Phantasmal Force</v>
      </c>
      <c r="H11" s="28" t="str">
        <f t="shared" ca="1" si="4"/>
        <v/>
      </c>
      <c r="I11" s="28" t="str">
        <f t="shared" ca="1" si="5"/>
        <v/>
      </c>
      <c r="K11" s="1">
        <f t="shared" ca="1" si="6"/>
        <v>5</v>
      </c>
      <c r="L11" s="1">
        <f t="shared" ca="1" si="6"/>
        <v>65</v>
      </c>
      <c r="M11" s="1">
        <f t="shared" ca="1" si="6"/>
        <v>71</v>
      </c>
      <c r="N11" cm="1">
        <f t="array" aca="1" ref="N11" ca="1">_xlfn.IFS(B11="Magical", RANDBETWEEN(VLOOKUP(D11,$AL$3:$AN$11,2), VLOOKUP(D11,$AL$3:$AN$11,3)), B11 = "Clerical", RANDBETWEEN(VLOOKUP(D11,$AP$3:$AR$9,2), VLOOKUP(D11,$AP$3:$AR$9,3)), B11 = "Druidic", RANDBETWEEN(VLOOKUP(D11, $AT$3:$AV$9,2), VLOOKUP(D11, $AT$3:$AV$9,3)), 1=1, "")</f>
        <v>44</v>
      </c>
      <c r="O11">
        <f t="shared" ca="1" si="7"/>
        <v>46</v>
      </c>
      <c r="P11" cm="1">
        <f t="array" aca="1" ref="P11" ca="1">_xlfn.IFS(B11="Magical", RANDBETWEEN(VLOOKUP(F11,$AL$3:$AN$11,2), VLOOKUP(F11,$AL$3:$AN$11,3)), B11 = "Clerical", RANDBETWEEN(VLOOKUP(F11,$AP$3:$AR$9,2), VLOOKUP(F11,$AP$3:$AR$9,3)), B11 = "Druidic", RANDBETWEEN(VLOOKUP(F11, $AT$3:$AV$9,2), VLOOKUP(F11, $AT$3:$AV$9,3)), 1=1, "")</f>
        <v>24</v>
      </c>
      <c r="Q11">
        <f t="shared" ca="1" si="8"/>
        <v>95</v>
      </c>
      <c r="R11" t="e" cm="1">
        <f t="array" aca="1" ref="R11" ca="1">_xlfn.IFS(B11="Magical", RANDBETWEEN(VLOOKUP(H11,$AL$3:$AN$11,2), VLOOKUP(H11,$AL$3:$AN$11,3)), B11 = "Clerical", RANDBETWEEN(VLOOKUP(H11,$AP$3:$AR$9,2), VLOOKUP(H11,$AP$3:$AR$9,3)), B11 = "Druidic", RANDBETWEEN(VLOOKUP(H11, $AT$3:$AV$9,2), VLOOKUP(H11, $AT$3:$AV$9,3)), 1=1, "")</f>
        <v>#N/A</v>
      </c>
      <c r="S11" t="s">
        <v>341</v>
      </c>
      <c r="T11" t="s">
        <v>752</v>
      </c>
      <c r="V11">
        <v>9</v>
      </c>
      <c r="W11">
        <v>1</v>
      </c>
      <c r="Y11">
        <v>9</v>
      </c>
      <c r="Z11">
        <v>1</v>
      </c>
      <c r="AB11">
        <v>9</v>
      </c>
      <c r="AC11" t="s">
        <v>356</v>
      </c>
      <c r="AF11">
        <v>9</v>
      </c>
      <c r="AG11" t="s">
        <v>462</v>
      </c>
      <c r="AI11">
        <v>9</v>
      </c>
      <c r="AJ11" t="s">
        <v>511</v>
      </c>
      <c r="AL11">
        <v>9</v>
      </c>
      <c r="AM11">
        <f t="shared" si="9"/>
        <v>105</v>
      </c>
      <c r="AN11">
        <f t="shared" si="10"/>
        <v>117</v>
      </c>
    </row>
    <row r="12" spans="1:48" x14ac:dyDescent="0.3">
      <c r="A12" s="13">
        <v>11</v>
      </c>
      <c r="B12" t="str">
        <f ca="1">VLOOKUP(K12,'Lair Treasures'!$CU$5:$CV$104,2)</f>
        <v>Magical</v>
      </c>
      <c r="C12" s="13">
        <f ca="1">VLOOKUP(L12,'Lair Treasures'!$CX$5:$CY$104,2)</f>
        <v>1</v>
      </c>
      <c r="D12">
        <f t="shared" ca="1" si="0"/>
        <v>2</v>
      </c>
      <c r="E12" t="str">
        <f t="shared" ca="1" si="1"/>
        <v>Knock</v>
      </c>
      <c r="F12" t="str">
        <f t="shared" ca="1" si="2"/>
        <v/>
      </c>
      <c r="G12" t="str">
        <f t="shared" ca="1" si="3"/>
        <v/>
      </c>
      <c r="H12" t="str">
        <f t="shared" ca="1" si="4"/>
        <v/>
      </c>
      <c r="I12" t="str">
        <f t="shared" ca="1" si="5"/>
        <v/>
      </c>
      <c r="K12" s="1">
        <f t="shared" ca="1" si="6"/>
        <v>35</v>
      </c>
      <c r="L12" s="1">
        <f t="shared" ca="1" si="6"/>
        <v>1</v>
      </c>
      <c r="M12" s="1">
        <f t="shared" ca="1" si="6"/>
        <v>49</v>
      </c>
      <c r="N12" cm="1">
        <f t="array" aca="1" ref="N12" ca="1">_xlfn.IFS(B12="Magical", RANDBETWEEN(VLOOKUP(D12,$AL$3:$AN$11,2), VLOOKUP(D12,$AL$3:$AN$11,3)), B12 = "Clerical", RANDBETWEEN(VLOOKUP(D12,$AP$3:$AR$9,2), VLOOKUP(D12,$AP$3:$AR$9,3)), B12 = "Druidic", RANDBETWEEN(VLOOKUP(D12, $AT$3:$AV$9,2), VLOOKUP(D12, $AT$3:$AV$9,3)), 1=1, "")</f>
        <v>20</v>
      </c>
      <c r="O12">
        <f t="shared" ca="1" si="7"/>
        <v>18</v>
      </c>
      <c r="P12" t="e" cm="1">
        <f t="array" aca="1" ref="P12" ca="1">_xlfn.IFS(B12="Magical", RANDBETWEEN(VLOOKUP(F12,$AL$3:$AN$11,2), VLOOKUP(F12,$AL$3:$AN$11,3)), B12 = "Clerical", RANDBETWEEN(VLOOKUP(F12,$AP$3:$AR$9,2), VLOOKUP(F12,$AP$3:$AR$9,3)), B12 = "Druidic", RANDBETWEEN(VLOOKUP(F12, $AT$3:$AV$9,2), VLOOKUP(F12, $AT$3:$AV$9,3)), 1=1, "")</f>
        <v>#N/A</v>
      </c>
      <c r="Q12">
        <f t="shared" ca="1" si="8"/>
        <v>40</v>
      </c>
      <c r="R12" t="e" cm="1">
        <f t="array" aca="1" ref="R12" ca="1">_xlfn.IFS(B12="Magical", RANDBETWEEN(VLOOKUP(H12,$AL$3:$AN$11,2), VLOOKUP(H12,$AL$3:$AN$11,3)), B12 = "Clerical", RANDBETWEEN(VLOOKUP(H12,$AP$3:$AR$9,2), VLOOKUP(H12,$AP$3:$AR$9,3)), B12 = "Druidic", RANDBETWEEN(VLOOKUP(H12, $AT$3:$AV$9,2), VLOOKUP(H12, $AT$3:$AV$9,3)), 1=1, "")</f>
        <v>#N/A</v>
      </c>
      <c r="S12" t="s">
        <v>340</v>
      </c>
      <c r="T12" t="s">
        <v>751</v>
      </c>
      <c r="V12">
        <v>10</v>
      </c>
      <c r="W12">
        <v>1</v>
      </c>
      <c r="Y12">
        <v>10</v>
      </c>
      <c r="Z12">
        <v>1</v>
      </c>
      <c r="AB12">
        <v>10</v>
      </c>
      <c r="AC12" t="s">
        <v>357</v>
      </c>
      <c r="AF12">
        <v>10</v>
      </c>
      <c r="AG12" t="s">
        <v>463</v>
      </c>
      <c r="AI12">
        <v>10</v>
      </c>
      <c r="AJ12" t="s">
        <v>512</v>
      </c>
    </row>
    <row r="13" spans="1:48" x14ac:dyDescent="0.3">
      <c r="A13" s="29">
        <v>12</v>
      </c>
      <c r="B13" s="28" t="str">
        <f ca="1">VLOOKUP(K13,'Lair Treasures'!$CU$5:$CV$104,2)</f>
        <v>Magical</v>
      </c>
      <c r="C13" s="29">
        <f ca="1">VLOOKUP(L13,'Lair Treasures'!$CX$5:$CY$104,2)</f>
        <v>1</v>
      </c>
      <c r="D13" s="28">
        <f t="shared" ca="1" si="0"/>
        <v>5</v>
      </c>
      <c r="E13" s="28" t="str">
        <f t="shared" ca="1" si="1"/>
        <v>Dissolve</v>
      </c>
      <c r="F13" s="28" t="str">
        <f t="shared" ca="1" si="2"/>
        <v/>
      </c>
      <c r="G13" s="28" t="str">
        <f t="shared" ca="1" si="3"/>
        <v/>
      </c>
      <c r="H13" s="28" t="str">
        <f t="shared" ca="1" si="4"/>
        <v/>
      </c>
      <c r="I13" s="28" t="str">
        <f t="shared" ca="1" si="5"/>
        <v/>
      </c>
      <c r="K13" s="1">
        <f t="shared" ca="1" si="6"/>
        <v>41</v>
      </c>
      <c r="L13" s="1">
        <f t="shared" ca="1" si="6"/>
        <v>28</v>
      </c>
      <c r="M13" s="1">
        <f t="shared" ca="1" si="6"/>
        <v>82</v>
      </c>
      <c r="N13" cm="1">
        <f t="array" aca="1" ref="N13" ca="1">_xlfn.IFS(B13="Magical", RANDBETWEEN(VLOOKUP(D13,$AL$3:$AN$11,2), VLOOKUP(D13,$AL$3:$AN$11,3)), B13 = "Clerical", RANDBETWEEN(VLOOKUP(D13,$AP$3:$AR$9,2), VLOOKUP(D13,$AP$3:$AR$9,3)), B13 = "Druidic", RANDBETWEEN(VLOOKUP(D13, $AT$3:$AV$9,2), VLOOKUP(D13, $AT$3:$AV$9,3)), 1=1, "")</f>
        <v>57</v>
      </c>
      <c r="O13">
        <f t="shared" ca="1" si="7"/>
        <v>19</v>
      </c>
      <c r="P13" t="e" cm="1">
        <f t="array" aca="1" ref="P13" ca="1">_xlfn.IFS(B13="Magical", RANDBETWEEN(VLOOKUP(F13,$AL$3:$AN$11,2), VLOOKUP(F13,$AL$3:$AN$11,3)), B13 = "Clerical", RANDBETWEEN(VLOOKUP(F13,$AP$3:$AR$9,2), VLOOKUP(F13,$AP$3:$AR$9,3)), B13 = "Druidic", RANDBETWEEN(VLOOKUP(F13, $AT$3:$AV$9,2), VLOOKUP(F13, $AT$3:$AV$9,3)), 1=1, "")</f>
        <v>#N/A</v>
      </c>
      <c r="Q13">
        <f t="shared" ca="1" si="8"/>
        <v>15</v>
      </c>
      <c r="R13" t="e" cm="1">
        <f t="array" aca="1" ref="R13" ca="1">_xlfn.IFS(B13="Magical", RANDBETWEEN(VLOOKUP(H13,$AL$3:$AN$11,2), VLOOKUP(H13,$AL$3:$AN$11,3)), B13 = "Clerical", RANDBETWEEN(VLOOKUP(H13,$AP$3:$AR$9,2), VLOOKUP(H13,$AP$3:$AR$9,3)), B13 = "Druidic", RANDBETWEEN(VLOOKUP(H13, $AT$3:$AV$9,2), VLOOKUP(H13, $AT$3:$AV$9,3)), 1=1, "")</f>
        <v>#N/A</v>
      </c>
      <c r="S13" t="s">
        <v>342</v>
      </c>
      <c r="T13" t="s">
        <v>753</v>
      </c>
      <c r="V13">
        <v>11</v>
      </c>
      <c r="W13">
        <v>1</v>
      </c>
      <c r="Y13">
        <v>11</v>
      </c>
      <c r="Z13">
        <v>1</v>
      </c>
      <c r="AB13">
        <v>11</v>
      </c>
      <c r="AC13" t="s">
        <v>358</v>
      </c>
      <c r="AF13">
        <v>11</v>
      </c>
      <c r="AG13" t="s">
        <v>377</v>
      </c>
      <c r="AI13">
        <v>11</v>
      </c>
      <c r="AJ13" t="s">
        <v>513</v>
      </c>
    </row>
    <row r="14" spans="1:48" x14ac:dyDescent="0.3">
      <c r="A14" s="13">
        <v>13</v>
      </c>
      <c r="B14" t="str">
        <f ca="1">VLOOKUP(K14,'Lair Treasures'!$CU$5:$CV$104,2)</f>
        <v>Magical</v>
      </c>
      <c r="C14" s="13">
        <f ca="1">VLOOKUP(L14,'Lair Treasures'!$CX$5:$CY$104,2)</f>
        <v>2</v>
      </c>
      <c r="D14">
        <f t="shared" ca="1" si="0"/>
        <v>5</v>
      </c>
      <c r="E14" t="str">
        <f t="shared" ca="1" si="1"/>
        <v>Hold Monster</v>
      </c>
      <c r="F14">
        <f t="shared" ca="1" si="2"/>
        <v>1</v>
      </c>
      <c r="G14" t="str">
        <f t="shared" ca="1" si="3"/>
        <v>Light*</v>
      </c>
      <c r="H14" t="str">
        <f t="shared" ca="1" si="4"/>
        <v/>
      </c>
      <c r="I14" t="str">
        <f t="shared" ca="1" si="5"/>
        <v/>
      </c>
      <c r="K14" s="1">
        <f t="shared" ca="1" si="6"/>
        <v>20</v>
      </c>
      <c r="L14" s="1">
        <f t="shared" ca="1" si="6"/>
        <v>53</v>
      </c>
      <c r="M14" s="1">
        <f t="shared" ca="1" si="6"/>
        <v>84</v>
      </c>
      <c r="N14" cm="1">
        <f t="array" aca="1" ref="N14" ca="1">_xlfn.IFS(B14="Magical", RANDBETWEEN(VLOOKUP(D14,$AL$3:$AN$11,2), VLOOKUP(D14,$AL$3:$AN$11,3)), B14 = "Clerical", RANDBETWEEN(VLOOKUP(D14,$AP$3:$AR$9,2), VLOOKUP(D14,$AP$3:$AR$9,3)), B14 = "Druidic", RANDBETWEEN(VLOOKUP(D14, $AT$3:$AV$9,2), VLOOKUP(D14, $AT$3:$AV$9,3)), 1=1, "")</f>
        <v>59</v>
      </c>
      <c r="O14">
        <f t="shared" ca="1" si="7"/>
        <v>8</v>
      </c>
      <c r="P14" cm="1">
        <f t="array" aca="1" ref="P14" ca="1">_xlfn.IFS(B14="Magical", RANDBETWEEN(VLOOKUP(F14,$AL$3:$AN$11,2), VLOOKUP(F14,$AL$3:$AN$11,3)), B14 = "Clerical", RANDBETWEEN(VLOOKUP(F14,$AP$3:$AR$9,2), VLOOKUP(F14,$AP$3:$AR$9,3)), B14 = "Druidic", RANDBETWEEN(VLOOKUP(F14, $AT$3:$AV$9,2), VLOOKUP(F14, $AT$3:$AV$9,3)), 1=1, "")</f>
        <v>6</v>
      </c>
      <c r="Q14">
        <f t="shared" ca="1" si="8"/>
        <v>30</v>
      </c>
      <c r="R14" t="e" cm="1">
        <f t="array" aca="1" ref="R14" ca="1">_xlfn.IFS(B14="Magical", RANDBETWEEN(VLOOKUP(H14,$AL$3:$AN$11,2), VLOOKUP(H14,$AL$3:$AN$11,3)), B14 = "Clerical", RANDBETWEEN(VLOOKUP(H14,$AP$3:$AR$9,2), VLOOKUP(H14,$AP$3:$AR$9,3)), B14 = "Druidic", RANDBETWEEN(VLOOKUP(H14, $AT$3:$AV$9,2), VLOOKUP(H14, $AT$3:$AV$9,3)), 1=1, "")</f>
        <v>#N/A</v>
      </c>
      <c r="V14">
        <v>12</v>
      </c>
      <c r="W14">
        <v>1</v>
      </c>
      <c r="Y14">
        <v>12</v>
      </c>
      <c r="Z14">
        <v>1</v>
      </c>
      <c r="AB14">
        <v>12</v>
      </c>
      <c r="AC14" t="s">
        <v>359</v>
      </c>
      <c r="AF14">
        <v>12</v>
      </c>
      <c r="AG14" t="s">
        <v>464</v>
      </c>
      <c r="AI14">
        <v>12</v>
      </c>
      <c r="AJ14" t="s">
        <v>204</v>
      </c>
    </row>
    <row r="15" spans="1:48" x14ac:dyDescent="0.3">
      <c r="A15" s="29">
        <v>14</v>
      </c>
      <c r="B15" s="28" t="str">
        <f ca="1">VLOOKUP(K15,'Lair Treasures'!$CU$5:$CV$104,2)</f>
        <v>Magical</v>
      </c>
      <c r="C15" s="29">
        <f ca="1">VLOOKUP(L15,'Lair Treasures'!$CX$5:$CY$104,2)</f>
        <v>3</v>
      </c>
      <c r="D15" s="28">
        <f t="shared" ca="1" si="0"/>
        <v>9</v>
      </c>
      <c r="E15" s="28" t="str">
        <f t="shared" ca="1" si="1"/>
        <v>Immunity</v>
      </c>
      <c r="F15" s="28">
        <f t="shared" ca="1" si="2"/>
        <v>1</v>
      </c>
      <c r="G15" s="28" t="str">
        <f t="shared" ca="1" si="3"/>
        <v>Charm Person</v>
      </c>
      <c r="H15" s="28">
        <f t="shared" ca="1" si="4"/>
        <v>3</v>
      </c>
      <c r="I15" s="28" t="str">
        <f t="shared" ca="1" si="5"/>
        <v>Water Breathing</v>
      </c>
      <c r="K15" s="1">
        <f t="shared" ca="1" si="6"/>
        <v>48</v>
      </c>
      <c r="L15" s="1">
        <f t="shared" ca="1" si="6"/>
        <v>88</v>
      </c>
      <c r="M15" s="1">
        <f t="shared" ca="1" si="6"/>
        <v>100</v>
      </c>
      <c r="N15" cm="1">
        <f t="array" aca="1" ref="N15" ca="1">_xlfn.IFS(B15="Magical", RANDBETWEEN(VLOOKUP(D15,$AL$3:$AN$11,2), VLOOKUP(D15,$AL$3:$AN$11,3)), B15 = "Clerical", RANDBETWEEN(VLOOKUP(D15,$AP$3:$AR$9,2), VLOOKUP(D15,$AP$3:$AR$9,3)), B15 = "Druidic", RANDBETWEEN(VLOOKUP(D15, $AT$3:$AV$9,2), VLOOKUP(D15, $AT$3:$AV$9,3)), 1=1, "")</f>
        <v>109</v>
      </c>
      <c r="O15">
        <f t="shared" ca="1" si="7"/>
        <v>14</v>
      </c>
      <c r="P15" cm="1">
        <f t="array" aca="1" ref="P15" ca="1">_xlfn.IFS(B15="Magical", RANDBETWEEN(VLOOKUP(F15,$AL$3:$AN$11,2), VLOOKUP(F15,$AL$3:$AN$11,3)), B15 = "Clerical", RANDBETWEEN(VLOOKUP(F15,$AP$3:$AR$9,2), VLOOKUP(F15,$AP$3:$AR$9,3)), B15 = "Druidic", RANDBETWEEN(VLOOKUP(F15, $AT$3:$AV$9,2), VLOOKUP(F15, $AT$3:$AV$9,3)), 1=1, "")</f>
        <v>2</v>
      </c>
      <c r="Q15">
        <f t="shared" ca="1" si="8"/>
        <v>56</v>
      </c>
      <c r="R15" cm="1">
        <f t="array" aca="1" ref="R15" ca="1">_xlfn.IFS(B15="Magical", RANDBETWEEN(VLOOKUP(H15,$AL$3:$AN$11,2), VLOOKUP(H15,$AL$3:$AN$11,3)), B15 = "Clerical", RANDBETWEEN(VLOOKUP(H15,$AP$3:$AR$9,2), VLOOKUP(H15,$AP$3:$AR$9,3)), B15 = "Druidic", RANDBETWEEN(VLOOKUP(H15, $AT$3:$AV$9,2), VLOOKUP(H15, $AT$3:$AV$9,3)), 1=1, "")</f>
        <v>39</v>
      </c>
      <c r="V15">
        <v>13</v>
      </c>
      <c r="W15">
        <v>1</v>
      </c>
      <c r="Y15">
        <v>13</v>
      </c>
      <c r="Z15">
        <v>1</v>
      </c>
      <c r="AB15">
        <v>13</v>
      </c>
      <c r="AC15" t="s">
        <v>360</v>
      </c>
      <c r="AD15">
        <v>1</v>
      </c>
      <c r="AF15">
        <v>13</v>
      </c>
      <c r="AG15" t="s">
        <v>465</v>
      </c>
      <c r="AI15">
        <v>13</v>
      </c>
      <c r="AJ15" t="s">
        <v>514</v>
      </c>
    </row>
    <row r="16" spans="1:48" x14ac:dyDescent="0.3">
      <c r="A16" s="13">
        <v>15</v>
      </c>
      <c r="B16" t="str">
        <f ca="1">VLOOKUP(K16,'Lair Treasures'!$CU$5:$CV$104,2)</f>
        <v>Clerical</v>
      </c>
      <c r="C16" s="13">
        <f ca="1">VLOOKUP(L16,'Lair Treasures'!$CX$5:$CY$104,2)</f>
        <v>1</v>
      </c>
      <c r="D16">
        <f t="shared" ca="1" si="0"/>
        <v>6</v>
      </c>
      <c r="E16" t="str">
        <f t="shared" ca="1" si="1"/>
        <v>Create Normal Animals</v>
      </c>
      <c r="F16" t="str">
        <f t="shared" ca="1" si="2"/>
        <v/>
      </c>
      <c r="G16" t="str">
        <f t="shared" ca="1" si="3"/>
        <v/>
      </c>
      <c r="H16" t="str">
        <f t="shared" ca="1" si="4"/>
        <v/>
      </c>
      <c r="I16" t="str">
        <f t="shared" ca="1" si="5"/>
        <v/>
      </c>
      <c r="K16" s="1">
        <f t="shared" ca="1" si="6"/>
        <v>80</v>
      </c>
      <c r="L16" s="1">
        <f t="shared" ca="1" si="6"/>
        <v>25</v>
      </c>
      <c r="M16" s="1">
        <f t="shared" ca="1" si="6"/>
        <v>98</v>
      </c>
      <c r="N16" cm="1">
        <f t="array" aca="1" ref="N16" ca="1">_xlfn.IFS(B16="Magical", RANDBETWEEN(VLOOKUP(D16,$AL$3:$AN$11,2), VLOOKUP(D16,$AL$3:$AN$11,3)), B16 = "Clerical", RANDBETWEEN(VLOOKUP(D16,$AP$3:$AR$9,2), VLOOKUP(D16,$AP$3:$AR$9,3)), B16 = "Druidic", RANDBETWEEN(VLOOKUP(D16, $AT$3:$AV$9,2), VLOOKUP(D16, $AT$3:$AV$9,3)), 1=1, "")</f>
        <v>44</v>
      </c>
      <c r="O16">
        <f t="shared" ca="1" si="7"/>
        <v>99</v>
      </c>
      <c r="P16" t="e" cm="1">
        <f t="array" aca="1" ref="P16" ca="1">_xlfn.IFS(B16="Magical", RANDBETWEEN(VLOOKUP(F16,$AL$3:$AN$11,2), VLOOKUP(F16,$AL$3:$AN$11,3)), B16 = "Clerical", RANDBETWEEN(VLOOKUP(F16,$AP$3:$AR$9,2), VLOOKUP(F16,$AP$3:$AR$9,3)), B16 = "Druidic", RANDBETWEEN(VLOOKUP(F16, $AT$3:$AV$9,2), VLOOKUP(F16, $AT$3:$AV$9,3)), 1=1, "")</f>
        <v>#N/A</v>
      </c>
      <c r="Q16">
        <f t="shared" ca="1" si="8"/>
        <v>64</v>
      </c>
      <c r="R16" t="e" cm="1">
        <f t="array" aca="1" ref="R16" ca="1">_xlfn.IFS(B16="Magical", RANDBETWEEN(VLOOKUP(H16,$AL$3:$AN$11,2), VLOOKUP(H16,$AL$3:$AN$11,3)), B16 = "Clerical", RANDBETWEEN(VLOOKUP(H16,$AP$3:$AR$9,2), VLOOKUP(H16,$AP$3:$AR$9,3)), B16 = "Druidic", RANDBETWEEN(VLOOKUP(H16, $AT$3:$AV$9,2), VLOOKUP(H16, $AT$3:$AV$9,3)), 1=1, "")</f>
        <v>#N/A</v>
      </c>
      <c r="V16">
        <v>14</v>
      </c>
      <c r="W16">
        <v>1</v>
      </c>
      <c r="Y16">
        <v>14</v>
      </c>
      <c r="Z16">
        <v>1</v>
      </c>
      <c r="AB16">
        <v>14</v>
      </c>
      <c r="AC16" t="s">
        <v>361</v>
      </c>
      <c r="AD16">
        <v>2</v>
      </c>
      <c r="AF16">
        <v>14</v>
      </c>
      <c r="AG16" t="s">
        <v>466</v>
      </c>
      <c r="AI16">
        <v>14</v>
      </c>
      <c r="AJ16" t="s">
        <v>515</v>
      </c>
    </row>
    <row r="17" spans="1:36" x14ac:dyDescent="0.3">
      <c r="A17" s="29">
        <v>16</v>
      </c>
      <c r="B17" s="28" t="str">
        <f ca="1">VLOOKUP(K17,'Lair Treasures'!$CU$5:$CV$104,2)</f>
        <v>Magical</v>
      </c>
      <c r="C17" s="29">
        <f ca="1">VLOOKUP(L17,'Lair Treasures'!$CX$5:$CY$104,2)</f>
        <v>2</v>
      </c>
      <c r="D17" s="28">
        <f t="shared" ca="1" si="0"/>
        <v>1</v>
      </c>
      <c r="E17" s="28" t="str">
        <f t="shared" ca="1" si="1"/>
        <v>Light*</v>
      </c>
      <c r="F17" s="28">
        <f t="shared" ca="1" si="2"/>
        <v>2</v>
      </c>
      <c r="G17" s="28" t="str">
        <f t="shared" ca="1" si="3"/>
        <v>Wizard Lock</v>
      </c>
      <c r="H17" s="28" t="str">
        <f t="shared" ca="1" si="4"/>
        <v/>
      </c>
      <c r="I17" s="28" t="str">
        <f t="shared" ca="1" si="5"/>
        <v/>
      </c>
      <c r="K17" s="1">
        <f t="shared" ca="1" si="6"/>
        <v>43</v>
      </c>
      <c r="L17" s="1">
        <f t="shared" ca="1" si="6"/>
        <v>67</v>
      </c>
      <c r="M17" s="1">
        <f t="shared" ca="1" si="6"/>
        <v>21</v>
      </c>
      <c r="N17" cm="1">
        <f t="array" aca="1" ref="N17" ca="1">_xlfn.IFS(B17="Magical", RANDBETWEEN(VLOOKUP(D17,$AL$3:$AN$11,2), VLOOKUP(D17,$AL$3:$AN$11,3)), B17 = "Clerical", RANDBETWEEN(VLOOKUP(D17,$AP$3:$AR$9,2), VLOOKUP(D17,$AP$3:$AR$9,3)), B17 = "Druidic", RANDBETWEEN(VLOOKUP(D17, $AT$3:$AV$9,2), VLOOKUP(D17, $AT$3:$AV$9,3)), 1=1, "")</f>
        <v>6</v>
      </c>
      <c r="O17">
        <f t="shared" ca="1" si="7"/>
        <v>37</v>
      </c>
      <c r="P17" cm="1">
        <f t="array" aca="1" ref="P17" ca="1">_xlfn.IFS(B17="Magical", RANDBETWEEN(VLOOKUP(F17,$AL$3:$AN$11,2), VLOOKUP(F17,$AL$3:$AN$11,3)), B17 = "Clerical", RANDBETWEEN(VLOOKUP(F17,$AP$3:$AR$9,2), VLOOKUP(F17,$AP$3:$AR$9,3)), B17 = "Druidic", RANDBETWEEN(VLOOKUP(F17, $AT$3:$AV$9,2), VLOOKUP(F17, $AT$3:$AV$9,3)), 1=1, "")</f>
        <v>26</v>
      </c>
      <c r="Q17">
        <f t="shared" ca="1" si="8"/>
        <v>38</v>
      </c>
      <c r="R17" t="e" cm="1">
        <f t="array" aca="1" ref="R17" ca="1">_xlfn.IFS(B17="Magical", RANDBETWEEN(VLOOKUP(H17,$AL$3:$AN$11,2), VLOOKUP(H17,$AL$3:$AN$11,3)), B17 = "Clerical", RANDBETWEEN(VLOOKUP(H17,$AP$3:$AR$9,2), VLOOKUP(H17,$AP$3:$AR$9,3)), B17 = "Druidic", RANDBETWEEN(VLOOKUP(H17, $AT$3:$AV$9,2), VLOOKUP(H17, $AT$3:$AV$9,3)), 1=1, "")</f>
        <v>#N/A</v>
      </c>
      <c r="V17">
        <v>15</v>
      </c>
      <c r="W17">
        <v>1</v>
      </c>
      <c r="Y17">
        <v>15</v>
      </c>
      <c r="Z17">
        <v>1</v>
      </c>
      <c r="AB17">
        <v>15</v>
      </c>
      <c r="AC17" t="s">
        <v>362</v>
      </c>
      <c r="AF17">
        <v>15</v>
      </c>
      <c r="AG17" t="s">
        <v>467</v>
      </c>
      <c r="AI17">
        <v>15</v>
      </c>
      <c r="AJ17" t="s">
        <v>516</v>
      </c>
    </row>
    <row r="18" spans="1:36" x14ac:dyDescent="0.3">
      <c r="A18" s="13">
        <v>17</v>
      </c>
      <c r="B18" t="str">
        <f ca="1">VLOOKUP(K18,'Lair Treasures'!$CU$5:$CV$104,2)</f>
        <v>Magical</v>
      </c>
      <c r="C18" s="13">
        <f ca="1">VLOOKUP(L18,'Lair Treasures'!$CX$5:$CY$104,2)</f>
        <v>2</v>
      </c>
      <c r="D18">
        <f t="shared" ca="1" si="0"/>
        <v>2</v>
      </c>
      <c r="E18" t="str">
        <f t="shared" ca="1" si="1"/>
        <v>Invisibility</v>
      </c>
      <c r="F18">
        <f t="shared" ca="1" si="2"/>
        <v>6</v>
      </c>
      <c r="G18" t="str">
        <f t="shared" ca="1" si="3"/>
        <v>Lower Water</v>
      </c>
      <c r="H18" t="str">
        <f t="shared" ca="1" si="4"/>
        <v/>
      </c>
      <c r="I18" t="str">
        <f t="shared" ca="1" si="5"/>
        <v/>
      </c>
      <c r="K18" s="1">
        <f t="shared" ca="1" si="6"/>
        <v>8</v>
      </c>
      <c r="L18" s="1">
        <f t="shared" ca="1" si="6"/>
        <v>58</v>
      </c>
      <c r="M18" s="1">
        <f t="shared" ca="1" si="6"/>
        <v>42</v>
      </c>
      <c r="N18" cm="1">
        <f t="array" aca="1" ref="N18" ca="1">_xlfn.IFS(B18="Magical", RANDBETWEEN(VLOOKUP(D18,$AL$3:$AN$11,2), VLOOKUP(D18,$AL$3:$AN$11,3)), B18 = "Clerical", RANDBETWEEN(VLOOKUP(D18,$AP$3:$AR$9,2), VLOOKUP(D18,$AP$3:$AR$9,3)), B18 = "Druidic", RANDBETWEEN(VLOOKUP(D18, $AT$3:$AV$9,2), VLOOKUP(D18, $AT$3:$AV$9,3)), 1=1, "")</f>
        <v>19</v>
      </c>
      <c r="O18">
        <f t="shared" ca="1" si="7"/>
        <v>85</v>
      </c>
      <c r="P18" cm="1">
        <f t="array" aca="1" ref="P18" ca="1">_xlfn.IFS(B18="Magical", RANDBETWEEN(VLOOKUP(F18,$AL$3:$AN$11,2), VLOOKUP(F18,$AL$3:$AN$11,3)), B18 = "Clerical", RANDBETWEEN(VLOOKUP(F18,$AP$3:$AR$9,2), VLOOKUP(F18,$AP$3:$AR$9,3)), B18 = "Druidic", RANDBETWEEN(VLOOKUP(F18, $AT$3:$AV$9,2), VLOOKUP(F18, $AT$3:$AV$9,3)), 1=1, "")</f>
        <v>71</v>
      </c>
      <c r="Q18">
        <f t="shared" ca="1" si="8"/>
        <v>13</v>
      </c>
      <c r="R18" t="e" cm="1">
        <f t="array" aca="1" ref="R18" ca="1">_xlfn.IFS(B18="Magical", RANDBETWEEN(VLOOKUP(H18,$AL$3:$AN$11,2), VLOOKUP(H18,$AL$3:$AN$11,3)), B18 = "Clerical", RANDBETWEEN(VLOOKUP(H18,$AP$3:$AR$9,2), VLOOKUP(H18,$AP$3:$AR$9,3)), B18 = "Druidic", RANDBETWEEN(VLOOKUP(H18, $AT$3:$AV$9,2), VLOOKUP(H18, $AT$3:$AV$9,3)), 1=1, "")</f>
        <v>#N/A</v>
      </c>
      <c r="V18">
        <v>16</v>
      </c>
      <c r="W18">
        <v>1</v>
      </c>
      <c r="Y18">
        <v>16</v>
      </c>
      <c r="Z18">
        <v>1</v>
      </c>
      <c r="AB18">
        <v>16</v>
      </c>
      <c r="AC18" t="s">
        <v>363</v>
      </c>
      <c r="AF18">
        <v>16</v>
      </c>
      <c r="AG18" t="s">
        <v>468</v>
      </c>
      <c r="AI18">
        <v>16</v>
      </c>
      <c r="AJ18" t="s">
        <v>517</v>
      </c>
    </row>
    <row r="19" spans="1:36" x14ac:dyDescent="0.3">
      <c r="A19" s="29">
        <v>18</v>
      </c>
      <c r="B19" s="28" t="str">
        <f ca="1">VLOOKUP(K19,'Lair Treasures'!$CU$5:$CV$104,2)</f>
        <v>Clerical</v>
      </c>
      <c r="C19" s="29">
        <f ca="1">VLOOKUP(L19,'Lair Treasures'!$CX$5:$CY$104,2)</f>
        <v>1</v>
      </c>
      <c r="D19" s="28">
        <f t="shared" ca="1" si="0"/>
        <v>3</v>
      </c>
      <c r="E19" s="28" t="str">
        <f t="shared" ca="1" si="1"/>
        <v>Cure Blindness</v>
      </c>
      <c r="F19" s="28" t="str">
        <f t="shared" ca="1" si="2"/>
        <v/>
      </c>
      <c r="G19" s="28" t="str">
        <f t="shared" ca="1" si="3"/>
        <v/>
      </c>
      <c r="H19" s="28" t="str">
        <f t="shared" ca="1" si="4"/>
        <v/>
      </c>
      <c r="I19" s="28" t="str">
        <f t="shared" ca="1" si="5"/>
        <v/>
      </c>
      <c r="K19" s="1">
        <f t="shared" ca="1" si="6"/>
        <v>75</v>
      </c>
      <c r="L19" s="1">
        <f t="shared" ca="1" si="6"/>
        <v>45</v>
      </c>
      <c r="M19" s="1">
        <f t="shared" ca="1" si="6"/>
        <v>72</v>
      </c>
      <c r="N19" cm="1">
        <f t="array" aca="1" ref="N19" ca="1">_xlfn.IFS(B19="Magical", RANDBETWEEN(VLOOKUP(D19,$AL$3:$AN$11,2), VLOOKUP(D19,$AL$3:$AN$11,3)), B19 = "Clerical", RANDBETWEEN(VLOOKUP(D19,$AP$3:$AR$9,2), VLOOKUP(D19,$AP$3:$AR$9,3)), B19 = "Druidic", RANDBETWEEN(VLOOKUP(D19, $AT$3:$AV$9,2), VLOOKUP(D19, $AT$3:$AV$9,3)), 1=1, "")</f>
        <v>18</v>
      </c>
      <c r="O19">
        <f t="shared" ca="1" si="7"/>
        <v>98</v>
      </c>
      <c r="P19" t="e" cm="1">
        <f t="array" aca="1" ref="P19" ca="1">_xlfn.IFS(B19="Magical", RANDBETWEEN(VLOOKUP(F19,$AL$3:$AN$11,2), VLOOKUP(F19,$AL$3:$AN$11,3)), B19 = "Clerical", RANDBETWEEN(VLOOKUP(F19,$AP$3:$AR$9,2), VLOOKUP(F19,$AP$3:$AR$9,3)), B19 = "Druidic", RANDBETWEEN(VLOOKUP(F19, $AT$3:$AV$9,2), VLOOKUP(F19, $AT$3:$AV$9,3)), 1=1, "")</f>
        <v>#N/A</v>
      </c>
      <c r="Q19">
        <f t="shared" ca="1" si="8"/>
        <v>28</v>
      </c>
      <c r="R19" t="e" cm="1">
        <f t="array" aca="1" ref="R19" ca="1">_xlfn.IFS(B19="Magical", RANDBETWEEN(VLOOKUP(H19,$AL$3:$AN$11,2), VLOOKUP(H19,$AL$3:$AN$11,3)), B19 = "Clerical", RANDBETWEEN(VLOOKUP(H19,$AP$3:$AR$9,2), VLOOKUP(H19,$AP$3:$AR$9,3)), B19 = "Druidic", RANDBETWEEN(VLOOKUP(H19, $AT$3:$AV$9,2), VLOOKUP(H19, $AT$3:$AV$9,3)), 1=1, "")</f>
        <v>#N/A</v>
      </c>
      <c r="V19">
        <v>17</v>
      </c>
      <c r="W19">
        <v>1</v>
      </c>
      <c r="Y19">
        <v>17</v>
      </c>
      <c r="Z19">
        <v>1</v>
      </c>
      <c r="AB19">
        <v>17</v>
      </c>
      <c r="AC19" t="s">
        <v>364</v>
      </c>
      <c r="AF19">
        <v>17</v>
      </c>
      <c r="AG19" t="s">
        <v>469</v>
      </c>
      <c r="AI19">
        <v>17</v>
      </c>
      <c r="AJ19" t="s">
        <v>518</v>
      </c>
    </row>
    <row r="20" spans="1:36" x14ac:dyDescent="0.3">
      <c r="A20" s="13">
        <v>19</v>
      </c>
      <c r="B20" t="str">
        <f ca="1">VLOOKUP(K20,'Lair Treasures'!$CU$5:$CV$104,2)</f>
        <v>Magical</v>
      </c>
      <c r="C20" s="13">
        <f ca="1">VLOOKUP(L20,'Lair Treasures'!$CX$5:$CY$104,2)</f>
        <v>1</v>
      </c>
      <c r="D20">
        <f t="shared" ca="1" si="0"/>
        <v>7</v>
      </c>
      <c r="E20" t="str">
        <f t="shared" ca="1" si="1"/>
        <v>Summon Object</v>
      </c>
      <c r="F20" t="str">
        <f t="shared" ca="1" si="2"/>
        <v/>
      </c>
      <c r="G20" t="str">
        <f t="shared" ca="1" si="3"/>
        <v/>
      </c>
      <c r="H20" t="str">
        <f t="shared" ca="1" si="4"/>
        <v/>
      </c>
      <c r="I20" t="str">
        <f t="shared" ca="1" si="5"/>
        <v/>
      </c>
      <c r="K20" s="1">
        <f t="shared" ca="1" si="6"/>
        <v>34</v>
      </c>
      <c r="L20" s="1">
        <f t="shared" ca="1" si="6"/>
        <v>5</v>
      </c>
      <c r="M20" s="1">
        <f t="shared" ca="1" si="6"/>
        <v>92</v>
      </c>
      <c r="N20" cm="1">
        <f t="array" aca="1" ref="N20" ca="1">_xlfn.IFS(B20="Magical", RANDBETWEEN(VLOOKUP(D20,$AL$3:$AN$11,2), VLOOKUP(D20,$AL$3:$AN$11,3)), B20 = "Clerical", RANDBETWEEN(VLOOKUP(D20,$AP$3:$AR$9,2), VLOOKUP(D20,$AP$3:$AR$9,3)), B20 = "Druidic", RANDBETWEEN(VLOOKUP(D20, $AT$3:$AV$9,2), VLOOKUP(D20, $AT$3:$AV$9,3)), 1=1, "")</f>
        <v>89</v>
      </c>
      <c r="O20">
        <f t="shared" ca="1" si="7"/>
        <v>100</v>
      </c>
      <c r="P20" t="e" cm="1">
        <f t="array" aca="1" ref="P20" ca="1">_xlfn.IFS(B20="Magical", RANDBETWEEN(VLOOKUP(F20,$AL$3:$AN$11,2), VLOOKUP(F20,$AL$3:$AN$11,3)), B20 = "Clerical", RANDBETWEEN(VLOOKUP(F20,$AP$3:$AR$9,2), VLOOKUP(F20,$AP$3:$AR$9,3)), B20 = "Druidic", RANDBETWEEN(VLOOKUP(F20, $AT$3:$AV$9,2), VLOOKUP(F20, $AT$3:$AV$9,3)), 1=1, "")</f>
        <v>#N/A</v>
      </c>
      <c r="Q20">
        <f t="shared" ca="1" si="8"/>
        <v>15</v>
      </c>
      <c r="R20" t="e" cm="1">
        <f t="array" aca="1" ref="R20" ca="1">_xlfn.IFS(B20="Magical", RANDBETWEEN(VLOOKUP(H20,$AL$3:$AN$11,2), VLOOKUP(H20,$AL$3:$AN$11,3)), B20 = "Clerical", RANDBETWEEN(VLOOKUP(H20,$AP$3:$AR$9,2), VLOOKUP(H20,$AP$3:$AR$9,3)), B20 = "Druidic", RANDBETWEEN(VLOOKUP(H20, $AT$3:$AV$9,2), VLOOKUP(H20, $AT$3:$AV$9,3)), 1=1, "")</f>
        <v>#N/A</v>
      </c>
      <c r="V20">
        <v>18</v>
      </c>
      <c r="W20">
        <v>1</v>
      </c>
      <c r="Y20">
        <v>18</v>
      </c>
      <c r="Z20">
        <v>1</v>
      </c>
      <c r="AB20">
        <v>18</v>
      </c>
      <c r="AC20" t="s">
        <v>175</v>
      </c>
      <c r="AF20">
        <v>18</v>
      </c>
      <c r="AG20" t="s">
        <v>470</v>
      </c>
      <c r="AI20">
        <v>18</v>
      </c>
      <c r="AJ20" t="s">
        <v>519</v>
      </c>
    </row>
    <row r="21" spans="1:36" x14ac:dyDescent="0.3">
      <c r="A21" s="29">
        <v>20</v>
      </c>
      <c r="B21" s="28" t="str">
        <f ca="1">VLOOKUP(K21,'Lair Treasures'!$CU$5:$CV$104,2)</f>
        <v>Clerical</v>
      </c>
      <c r="C21" s="29">
        <f ca="1">VLOOKUP(L21,'Lair Treasures'!$CX$5:$CY$104,2)</f>
        <v>2</v>
      </c>
      <c r="D21" s="28">
        <f t="shared" ref="D21" ca="1" si="15">IF(C21&gt;0, VLOOKUP(M21, INDIRECT(VLOOKUP(B21,$S$2:$T$4,2)), 2), "")</f>
        <v>2</v>
      </c>
      <c r="E21" s="28" t="str">
        <f t="shared" ref="E21" ca="1" si="16">IF(D21="", "", VLOOKUP(N21, INDIRECT(VLOOKUP(B21,$S$11:$T$13,2)), 2))</f>
        <v>Hold Person</v>
      </c>
      <c r="F21" s="28">
        <f t="shared" ref="F21" ca="1" si="17">IF(C21&gt;1, VLOOKUP(O21, INDIRECT(VLOOKUP(B21,$S$2:$T$4,2)), 2), "")</f>
        <v>2</v>
      </c>
      <c r="G21" s="28" t="str">
        <f t="shared" ref="G21" ca="1" si="18">IF(F21="", "", VLOOKUP(P21, INDIRECT(VLOOKUP(B21,$S$11:$T$13,2)), 2))</f>
        <v>Find Traps</v>
      </c>
      <c r="H21" s="28" t="str">
        <f t="shared" ref="H21" ca="1" si="19">IF(C21&gt;2, VLOOKUP(Q21, INDIRECT(VLOOKUP(B21,$S$2:$T$4,2)), 2), "")</f>
        <v/>
      </c>
      <c r="I21" s="28" t="str">
        <f t="shared" ref="I21" ca="1" si="20">IF(H21="", "", VLOOKUP(R21, INDIRECT(VLOOKUP(B21,$S$11:$T$13,2)), 2))</f>
        <v/>
      </c>
      <c r="K21" s="1">
        <f t="shared" ca="1" si="6"/>
        <v>71</v>
      </c>
      <c r="L21" s="1">
        <f t="shared" ca="1" si="6"/>
        <v>57</v>
      </c>
      <c r="M21" s="1">
        <f t="shared" ca="1" si="6"/>
        <v>50</v>
      </c>
      <c r="N21" cm="1">
        <f t="array" aca="1" ref="N21" ca="1">_xlfn.IFS(B21="Magical", RANDBETWEEN(VLOOKUP(D21,$AL$3:$AN$11,2), VLOOKUP(D21,$AL$3:$AN$11,3)), B21 = "Clerical", RANDBETWEEN(VLOOKUP(D21,$AP$3:$AR$9,2), VLOOKUP(D21,$AP$3:$AR$9,3)), B21 = "Druidic", RANDBETWEEN(VLOOKUP(D21, $AT$3:$AV$9,2), VLOOKUP(D21, $AT$3:$AV$9,3)), 1=1, "")</f>
        <v>11</v>
      </c>
      <c r="O21">
        <f t="shared" ca="1" si="7"/>
        <v>42</v>
      </c>
      <c r="P21" cm="1">
        <f t="array" aca="1" ref="P21" ca="1">_xlfn.IFS(B21="Magical", RANDBETWEEN(VLOOKUP(F21,$AL$3:$AN$11,2), VLOOKUP(F21,$AL$3:$AN$11,3)), B21 = "Clerical", RANDBETWEEN(VLOOKUP(F21,$AP$3:$AR$9,2), VLOOKUP(F21,$AP$3:$AR$9,3)), B21 = "Druidic", RANDBETWEEN(VLOOKUP(F21, $AT$3:$AV$9,2), VLOOKUP(F21, $AT$3:$AV$9,3)), 1=1, "")</f>
        <v>10</v>
      </c>
      <c r="Q21">
        <f t="shared" ca="1" si="8"/>
        <v>67</v>
      </c>
      <c r="R21" t="e" cm="1">
        <f t="array" aca="1" ref="R21" ca="1">_xlfn.IFS(B21="Magical", RANDBETWEEN(VLOOKUP(H21,$AL$3:$AN$11,2), VLOOKUP(H21,$AL$3:$AN$11,3)), B21 = "Clerical", RANDBETWEEN(VLOOKUP(H21,$AP$3:$AR$9,2), VLOOKUP(H21,$AP$3:$AR$9,3)), B21 = "Druidic", RANDBETWEEN(VLOOKUP(H21, $AT$3:$AV$9,2), VLOOKUP(H21, $AT$3:$AV$9,3)), 1=1, "")</f>
        <v>#N/A</v>
      </c>
      <c r="V21">
        <v>19</v>
      </c>
      <c r="W21">
        <v>1</v>
      </c>
      <c r="Y21">
        <v>19</v>
      </c>
      <c r="Z21">
        <v>1</v>
      </c>
      <c r="AB21">
        <v>19</v>
      </c>
      <c r="AC21" t="s">
        <v>187</v>
      </c>
      <c r="AF21">
        <v>19</v>
      </c>
      <c r="AG21" t="s">
        <v>471</v>
      </c>
      <c r="AI21">
        <v>19</v>
      </c>
      <c r="AJ21" t="s">
        <v>399</v>
      </c>
    </row>
    <row r="22" spans="1:36" x14ac:dyDescent="0.3">
      <c r="A22" s="1"/>
      <c r="B22" s="1"/>
      <c r="C22" s="14"/>
      <c r="D22" s="1"/>
      <c r="E22" s="1"/>
      <c r="F22" s="1"/>
      <c r="G22" s="1"/>
      <c r="H22" s="1"/>
      <c r="I22" s="1"/>
      <c r="K22" s="1"/>
      <c r="L22" s="1"/>
      <c r="M22" s="1"/>
      <c r="V22">
        <v>20</v>
      </c>
      <c r="W22">
        <v>1</v>
      </c>
      <c r="Y22">
        <v>20</v>
      </c>
      <c r="Z22">
        <v>1</v>
      </c>
      <c r="AB22">
        <v>20</v>
      </c>
      <c r="AC22" t="s">
        <v>365</v>
      </c>
      <c r="AF22">
        <v>20</v>
      </c>
      <c r="AG22" t="s">
        <v>474</v>
      </c>
      <c r="AI22">
        <v>20</v>
      </c>
      <c r="AJ22" t="s">
        <v>520</v>
      </c>
    </row>
    <row r="23" spans="1:36" x14ac:dyDescent="0.3">
      <c r="A23" s="1"/>
      <c r="B23" s="1"/>
      <c r="C23" s="14"/>
      <c r="D23" s="1"/>
      <c r="E23" s="1"/>
      <c r="F23" s="1"/>
      <c r="G23" s="1"/>
      <c r="H23" s="1"/>
      <c r="I23" s="1"/>
      <c r="K23" s="1"/>
      <c r="L23" s="1"/>
      <c r="M23" s="1"/>
      <c r="V23">
        <v>21</v>
      </c>
      <c r="W23">
        <v>1</v>
      </c>
      <c r="Y23">
        <v>21</v>
      </c>
      <c r="Z23">
        <v>1</v>
      </c>
      <c r="AB23">
        <v>21</v>
      </c>
      <c r="AC23" t="s">
        <v>366</v>
      </c>
      <c r="AF23">
        <v>21</v>
      </c>
      <c r="AG23" t="s">
        <v>367</v>
      </c>
      <c r="AI23">
        <v>21</v>
      </c>
      <c r="AJ23" t="s">
        <v>521</v>
      </c>
    </row>
    <row r="24" spans="1:36" x14ac:dyDescent="0.3">
      <c r="A24" s="1"/>
      <c r="B24" s="1"/>
      <c r="C24" s="14"/>
      <c r="D24" s="1"/>
      <c r="E24" s="1"/>
      <c r="F24" s="1"/>
      <c r="G24" s="1"/>
      <c r="H24" s="1"/>
      <c r="I24" s="1"/>
      <c r="K24" s="1"/>
      <c r="L24" s="1"/>
      <c r="M24" s="1"/>
      <c r="V24">
        <v>22</v>
      </c>
      <c r="W24">
        <v>1</v>
      </c>
      <c r="Y24">
        <v>22</v>
      </c>
      <c r="Z24">
        <v>1</v>
      </c>
      <c r="AB24">
        <v>22</v>
      </c>
      <c r="AC24" t="s">
        <v>367</v>
      </c>
      <c r="AF24">
        <v>22</v>
      </c>
      <c r="AG24" t="s">
        <v>392</v>
      </c>
      <c r="AI24">
        <v>22</v>
      </c>
      <c r="AJ24" t="s">
        <v>522</v>
      </c>
    </row>
    <row r="25" spans="1:36" x14ac:dyDescent="0.3">
      <c r="A25" s="1"/>
      <c r="B25" s="1"/>
      <c r="C25" s="14"/>
      <c r="D25" s="1"/>
      <c r="E25" s="1"/>
      <c r="F25" s="1"/>
      <c r="G25" s="1"/>
      <c r="H25" s="1"/>
      <c r="I25" s="1"/>
      <c r="K25" s="1"/>
      <c r="L25" s="1"/>
      <c r="M25" s="1"/>
      <c r="V25">
        <v>23</v>
      </c>
      <c r="W25">
        <v>1</v>
      </c>
      <c r="Y25">
        <v>23</v>
      </c>
      <c r="Z25">
        <v>1</v>
      </c>
      <c r="AB25">
        <v>23</v>
      </c>
      <c r="AC25" t="s">
        <v>368</v>
      </c>
      <c r="AF25">
        <v>23</v>
      </c>
      <c r="AG25" t="s">
        <v>472</v>
      </c>
      <c r="AI25">
        <v>23</v>
      </c>
      <c r="AJ25" t="s">
        <v>523</v>
      </c>
    </row>
    <row r="26" spans="1:36" x14ac:dyDescent="0.3">
      <c r="A26" s="1"/>
      <c r="B26" s="1"/>
      <c r="C26" s="14"/>
      <c r="D26" s="1"/>
      <c r="E26" s="1"/>
      <c r="F26" s="1"/>
      <c r="G26" s="1"/>
      <c r="H26" s="1"/>
      <c r="I26" s="1"/>
      <c r="K26" s="1"/>
      <c r="L26" s="1"/>
      <c r="M26" s="1"/>
      <c r="V26">
        <v>24</v>
      </c>
      <c r="W26">
        <v>1</v>
      </c>
      <c r="Y26">
        <v>24</v>
      </c>
      <c r="Z26">
        <v>1</v>
      </c>
      <c r="AB26">
        <v>24</v>
      </c>
      <c r="AC26" t="s">
        <v>369</v>
      </c>
      <c r="AF26">
        <v>24</v>
      </c>
      <c r="AG26" t="s">
        <v>473</v>
      </c>
      <c r="AI26">
        <v>24</v>
      </c>
      <c r="AJ26" t="s">
        <v>524</v>
      </c>
    </row>
    <row r="27" spans="1:36" x14ac:dyDescent="0.3">
      <c r="A27" s="1"/>
      <c r="B27" s="1"/>
      <c r="C27" s="14"/>
      <c r="D27" s="1"/>
      <c r="E27" s="1"/>
      <c r="F27" s="1"/>
      <c r="G27" s="1"/>
      <c r="H27" s="1"/>
      <c r="I27" s="1"/>
      <c r="K27" s="1"/>
      <c r="L27" s="1"/>
      <c r="M27" s="1"/>
      <c r="V27">
        <v>25</v>
      </c>
      <c r="W27">
        <v>1</v>
      </c>
      <c r="Y27">
        <v>25</v>
      </c>
      <c r="Z27">
        <v>1</v>
      </c>
      <c r="AB27">
        <v>25</v>
      </c>
      <c r="AC27" t="s">
        <v>370</v>
      </c>
      <c r="AF27">
        <v>25</v>
      </c>
      <c r="AG27" t="s">
        <v>395</v>
      </c>
      <c r="AI27">
        <v>25</v>
      </c>
      <c r="AJ27" t="s">
        <v>525</v>
      </c>
    </row>
    <row r="28" spans="1:36" x14ac:dyDescent="0.3">
      <c r="A28" s="1"/>
      <c r="B28" s="1"/>
      <c r="C28" s="14"/>
      <c r="D28" s="1"/>
      <c r="E28" s="1"/>
      <c r="F28" s="1"/>
      <c r="G28" s="1"/>
      <c r="H28" s="1"/>
      <c r="I28" s="1"/>
      <c r="K28" s="1"/>
      <c r="L28" s="1"/>
      <c r="M28" s="1"/>
      <c r="V28">
        <v>26</v>
      </c>
      <c r="W28">
        <v>1</v>
      </c>
      <c r="Y28">
        <v>26</v>
      </c>
      <c r="Z28">
        <v>1</v>
      </c>
      <c r="AB28">
        <v>26</v>
      </c>
      <c r="AC28" t="s">
        <v>371</v>
      </c>
      <c r="AD28">
        <v>2</v>
      </c>
      <c r="AF28">
        <v>26</v>
      </c>
      <c r="AG28" t="s">
        <v>475</v>
      </c>
      <c r="AI28">
        <v>26</v>
      </c>
      <c r="AJ28" t="s">
        <v>526</v>
      </c>
    </row>
    <row r="29" spans="1:36" x14ac:dyDescent="0.3">
      <c r="A29" s="1"/>
      <c r="B29" s="1"/>
      <c r="C29" s="14"/>
      <c r="D29" s="1"/>
      <c r="E29" s="1"/>
      <c r="F29" s="1"/>
      <c r="G29" s="1"/>
      <c r="H29" s="1"/>
      <c r="I29" s="1"/>
      <c r="K29" s="1"/>
      <c r="L29" s="1"/>
      <c r="M29" s="1"/>
      <c r="V29">
        <v>27</v>
      </c>
      <c r="W29">
        <v>1</v>
      </c>
      <c r="Y29">
        <v>27</v>
      </c>
      <c r="Z29">
        <v>1</v>
      </c>
      <c r="AB29">
        <v>27</v>
      </c>
      <c r="AC29" t="s">
        <v>166</v>
      </c>
      <c r="AD29">
        <v>3</v>
      </c>
      <c r="AF29">
        <v>27</v>
      </c>
      <c r="AG29" t="s">
        <v>476</v>
      </c>
      <c r="AI29">
        <v>27</v>
      </c>
      <c r="AJ29" t="s">
        <v>527</v>
      </c>
    </row>
    <row r="30" spans="1:36" x14ac:dyDescent="0.3">
      <c r="A30" s="1"/>
      <c r="B30" s="1"/>
      <c r="C30" s="14"/>
      <c r="D30" s="1"/>
      <c r="E30" s="1"/>
      <c r="F30" s="1"/>
      <c r="G30" s="1"/>
      <c r="H30" s="1"/>
      <c r="I30" s="1"/>
      <c r="K30" s="1"/>
      <c r="L30" s="1"/>
      <c r="M30" s="1"/>
      <c r="V30">
        <v>28</v>
      </c>
      <c r="W30">
        <v>1</v>
      </c>
      <c r="Y30">
        <v>28</v>
      </c>
      <c r="Z30">
        <v>1</v>
      </c>
      <c r="AB30">
        <v>28</v>
      </c>
      <c r="AC30" t="s">
        <v>372</v>
      </c>
      <c r="AF30">
        <v>28</v>
      </c>
      <c r="AG30" t="s">
        <v>477</v>
      </c>
      <c r="AI30">
        <v>28</v>
      </c>
      <c r="AJ30" t="s">
        <v>419</v>
      </c>
    </row>
    <row r="31" spans="1:36" x14ac:dyDescent="0.3">
      <c r="A31" s="1"/>
      <c r="B31" s="1"/>
      <c r="C31" s="14"/>
      <c r="D31" s="1"/>
      <c r="E31" s="1"/>
      <c r="F31" s="1"/>
      <c r="G31" s="1"/>
      <c r="H31" s="1"/>
      <c r="I31" s="1"/>
      <c r="K31" s="1"/>
      <c r="L31" s="1"/>
      <c r="M31" s="1"/>
      <c r="V31">
        <v>29</v>
      </c>
      <c r="W31">
        <v>1</v>
      </c>
      <c r="Y31">
        <v>29</v>
      </c>
      <c r="Z31">
        <v>2</v>
      </c>
      <c r="AB31">
        <v>29</v>
      </c>
      <c r="AC31" t="s">
        <v>373</v>
      </c>
      <c r="AF31">
        <v>29</v>
      </c>
      <c r="AG31" t="s">
        <v>478</v>
      </c>
    </row>
    <row r="32" spans="1:36" x14ac:dyDescent="0.3">
      <c r="A32" s="1"/>
      <c r="B32" s="1"/>
      <c r="C32" s="14"/>
      <c r="D32" s="1"/>
      <c r="E32" s="1"/>
      <c r="F32" s="1"/>
      <c r="G32" s="1"/>
      <c r="H32" s="1"/>
      <c r="I32" s="1"/>
      <c r="K32" s="1"/>
      <c r="L32" s="1"/>
      <c r="M32" s="1"/>
      <c r="V32">
        <v>30</v>
      </c>
      <c r="W32">
        <v>1</v>
      </c>
      <c r="Y32">
        <v>30</v>
      </c>
      <c r="Z32">
        <v>2</v>
      </c>
      <c r="AB32">
        <v>30</v>
      </c>
      <c r="AC32" t="s">
        <v>587</v>
      </c>
      <c r="AF32">
        <v>30</v>
      </c>
      <c r="AG32" t="s">
        <v>479</v>
      </c>
    </row>
    <row r="33" spans="1:33" x14ac:dyDescent="0.3">
      <c r="A33" s="1"/>
      <c r="B33" s="1"/>
      <c r="C33" s="14"/>
      <c r="D33" s="1"/>
      <c r="E33" s="1"/>
      <c r="F33" s="1"/>
      <c r="G33" s="1"/>
      <c r="H33" s="1"/>
      <c r="I33" s="1"/>
      <c r="K33" s="1"/>
      <c r="L33" s="1"/>
      <c r="M33" s="1"/>
      <c r="V33">
        <v>31</v>
      </c>
      <c r="W33">
        <v>1</v>
      </c>
      <c r="Y33">
        <v>31</v>
      </c>
      <c r="Z33">
        <v>2</v>
      </c>
      <c r="AB33">
        <v>31</v>
      </c>
      <c r="AC33" t="s">
        <v>375</v>
      </c>
      <c r="AF33">
        <v>31</v>
      </c>
      <c r="AG33" t="s">
        <v>480</v>
      </c>
    </row>
    <row r="34" spans="1:33" x14ac:dyDescent="0.3">
      <c r="A34" s="1"/>
      <c r="B34" s="1"/>
      <c r="C34" s="14"/>
      <c r="D34" s="1"/>
      <c r="E34" s="1"/>
      <c r="F34" s="1"/>
      <c r="G34" s="1"/>
      <c r="H34" s="1"/>
      <c r="I34" s="1"/>
      <c r="K34" s="1"/>
      <c r="L34" s="1"/>
      <c r="M34" s="1"/>
      <c r="V34">
        <v>32</v>
      </c>
      <c r="W34">
        <v>1</v>
      </c>
      <c r="Y34">
        <v>32</v>
      </c>
      <c r="Z34">
        <v>2</v>
      </c>
      <c r="AB34">
        <v>32</v>
      </c>
      <c r="AC34" t="s">
        <v>376</v>
      </c>
      <c r="AF34">
        <v>32</v>
      </c>
      <c r="AG34" t="s">
        <v>481</v>
      </c>
    </row>
    <row r="35" spans="1:33" x14ac:dyDescent="0.3">
      <c r="A35" s="1"/>
      <c r="B35" s="1"/>
      <c r="C35" s="14"/>
      <c r="D35" s="1"/>
      <c r="E35" s="1"/>
      <c r="F35" s="1"/>
      <c r="G35" s="1"/>
      <c r="H35" s="1"/>
      <c r="I35" s="1"/>
      <c r="K35" s="1"/>
      <c r="L35" s="1"/>
      <c r="M35" s="1"/>
      <c r="V35">
        <v>33</v>
      </c>
      <c r="W35">
        <v>1</v>
      </c>
      <c r="Y35">
        <v>33</v>
      </c>
      <c r="Z35">
        <v>2</v>
      </c>
      <c r="AB35">
        <v>33</v>
      </c>
      <c r="AC35" t="s">
        <v>377</v>
      </c>
      <c r="AF35">
        <v>33</v>
      </c>
      <c r="AG35" t="s">
        <v>482</v>
      </c>
    </row>
    <row r="36" spans="1:33" x14ac:dyDescent="0.3">
      <c r="A36" s="1"/>
      <c r="B36" s="1"/>
      <c r="C36" s="14"/>
      <c r="D36" s="1"/>
      <c r="E36" s="1"/>
      <c r="F36" s="1"/>
      <c r="G36" s="1"/>
      <c r="H36" s="1"/>
      <c r="I36" s="1"/>
      <c r="K36" s="1"/>
      <c r="L36" s="1"/>
      <c r="M36" s="1"/>
      <c r="V36">
        <v>34</v>
      </c>
      <c r="W36">
        <v>1</v>
      </c>
      <c r="Y36">
        <v>34</v>
      </c>
      <c r="Z36">
        <v>2</v>
      </c>
      <c r="AB36">
        <v>34</v>
      </c>
      <c r="AC36" t="s">
        <v>378</v>
      </c>
      <c r="AF36">
        <v>34</v>
      </c>
      <c r="AG36" t="s">
        <v>483</v>
      </c>
    </row>
    <row r="37" spans="1:33" x14ac:dyDescent="0.3">
      <c r="A37" s="1"/>
      <c r="B37" s="1"/>
      <c r="C37" s="14"/>
      <c r="D37" s="1"/>
      <c r="E37" s="1"/>
      <c r="F37" s="1"/>
      <c r="G37" s="1"/>
      <c r="H37" s="1"/>
      <c r="I37" s="1"/>
      <c r="K37" s="1"/>
      <c r="L37" s="1"/>
      <c r="M37" s="1"/>
      <c r="V37">
        <v>35</v>
      </c>
      <c r="W37">
        <v>2</v>
      </c>
      <c r="Y37">
        <v>35</v>
      </c>
      <c r="Z37">
        <v>2</v>
      </c>
      <c r="AB37">
        <v>35</v>
      </c>
      <c r="AC37" t="s">
        <v>379</v>
      </c>
      <c r="AF37">
        <v>35</v>
      </c>
      <c r="AG37" t="s">
        <v>484</v>
      </c>
    </row>
    <row r="38" spans="1:33" x14ac:dyDescent="0.3">
      <c r="A38" s="1"/>
      <c r="B38" s="1"/>
      <c r="C38" s="14"/>
      <c r="D38" s="1"/>
      <c r="E38" s="1"/>
      <c r="F38" s="1"/>
      <c r="G38" s="1"/>
      <c r="H38" s="1"/>
      <c r="I38" s="1"/>
      <c r="K38" s="1"/>
      <c r="L38" s="1"/>
      <c r="M38" s="1"/>
      <c r="V38">
        <v>36</v>
      </c>
      <c r="W38">
        <v>2</v>
      </c>
      <c r="Y38">
        <v>36</v>
      </c>
      <c r="Z38">
        <v>2</v>
      </c>
      <c r="AB38">
        <v>36</v>
      </c>
      <c r="AC38" t="s">
        <v>380</v>
      </c>
      <c r="AF38">
        <v>36</v>
      </c>
      <c r="AG38" t="s">
        <v>485</v>
      </c>
    </row>
    <row r="39" spans="1:33" x14ac:dyDescent="0.3">
      <c r="A39" s="1"/>
      <c r="B39" s="1"/>
      <c r="C39" s="14"/>
      <c r="D39" s="1"/>
      <c r="E39" s="1"/>
      <c r="F39" s="1"/>
      <c r="G39" s="1"/>
      <c r="H39" s="1"/>
      <c r="I39" s="1"/>
      <c r="K39" s="1"/>
      <c r="L39" s="1"/>
      <c r="M39" s="1"/>
      <c r="V39">
        <v>37</v>
      </c>
      <c r="W39">
        <v>2</v>
      </c>
      <c r="Y39">
        <v>37</v>
      </c>
      <c r="Z39">
        <v>2</v>
      </c>
      <c r="AB39">
        <v>37</v>
      </c>
      <c r="AC39" t="s">
        <v>381</v>
      </c>
      <c r="AF39">
        <v>37</v>
      </c>
      <c r="AG39" t="s">
        <v>486</v>
      </c>
    </row>
    <row r="40" spans="1:33" x14ac:dyDescent="0.3">
      <c r="A40" s="1"/>
      <c r="B40" s="1"/>
      <c r="C40" s="14"/>
      <c r="D40" s="1"/>
      <c r="E40" s="1"/>
      <c r="F40" s="1"/>
      <c r="G40" s="1"/>
      <c r="H40" s="1"/>
      <c r="I40" s="1"/>
      <c r="K40" s="1"/>
      <c r="L40" s="1"/>
      <c r="M40" s="1"/>
      <c r="V40">
        <v>38</v>
      </c>
      <c r="W40">
        <v>2</v>
      </c>
      <c r="Y40">
        <v>38</v>
      </c>
      <c r="Z40">
        <v>2</v>
      </c>
      <c r="AB40">
        <v>38</v>
      </c>
      <c r="AC40" t="s">
        <v>382</v>
      </c>
      <c r="AF40">
        <v>38</v>
      </c>
      <c r="AG40" t="s">
        <v>487</v>
      </c>
    </row>
    <row r="41" spans="1:33" x14ac:dyDescent="0.3">
      <c r="A41" s="1"/>
      <c r="B41" s="1"/>
      <c r="C41" s="14"/>
      <c r="D41" s="1"/>
      <c r="E41" s="1"/>
      <c r="F41" s="1"/>
      <c r="G41" s="1"/>
      <c r="H41" s="1"/>
      <c r="I41" s="1"/>
      <c r="K41" s="1"/>
      <c r="L41" s="1"/>
      <c r="M41" s="1"/>
      <c r="V41">
        <v>39</v>
      </c>
      <c r="W41">
        <v>2</v>
      </c>
      <c r="Y41">
        <v>39</v>
      </c>
      <c r="Z41">
        <v>2</v>
      </c>
      <c r="AB41">
        <v>39</v>
      </c>
      <c r="AC41" t="s">
        <v>204</v>
      </c>
      <c r="AD41">
        <v>3</v>
      </c>
      <c r="AF41">
        <v>39</v>
      </c>
      <c r="AG41" t="s">
        <v>488</v>
      </c>
    </row>
    <row r="42" spans="1:33" x14ac:dyDescent="0.3">
      <c r="A42" s="1"/>
      <c r="B42" s="1"/>
      <c r="C42" s="14"/>
      <c r="D42" s="1"/>
      <c r="E42" s="1"/>
      <c r="F42" s="1"/>
      <c r="G42" s="1"/>
      <c r="H42" s="1"/>
      <c r="I42" s="1"/>
      <c r="K42" s="1"/>
      <c r="L42" s="1"/>
      <c r="M42" s="1"/>
      <c r="V42">
        <v>40</v>
      </c>
      <c r="W42">
        <v>2</v>
      </c>
      <c r="Y42">
        <v>40</v>
      </c>
      <c r="Z42">
        <v>2</v>
      </c>
      <c r="AB42">
        <v>40</v>
      </c>
      <c r="AC42" t="s">
        <v>383</v>
      </c>
      <c r="AD42">
        <v>4</v>
      </c>
      <c r="AF42">
        <v>40</v>
      </c>
      <c r="AG42" t="s">
        <v>489</v>
      </c>
    </row>
    <row r="43" spans="1:33" x14ac:dyDescent="0.3">
      <c r="A43" s="1"/>
      <c r="B43" s="1"/>
      <c r="C43" s="14"/>
      <c r="D43" s="1"/>
      <c r="E43" s="1"/>
      <c r="F43" s="1"/>
      <c r="G43" s="1"/>
      <c r="H43" s="1"/>
      <c r="I43" s="1"/>
      <c r="K43" s="1"/>
      <c r="L43" s="1"/>
      <c r="M43" s="1"/>
      <c r="V43">
        <v>41</v>
      </c>
      <c r="W43">
        <v>2</v>
      </c>
      <c r="Y43">
        <v>41</v>
      </c>
      <c r="Z43">
        <v>2</v>
      </c>
      <c r="AB43">
        <v>41</v>
      </c>
      <c r="AC43" t="s">
        <v>384</v>
      </c>
      <c r="AF43">
        <v>41</v>
      </c>
      <c r="AG43" t="s">
        <v>490</v>
      </c>
    </row>
    <row r="44" spans="1:33" x14ac:dyDescent="0.3">
      <c r="A44" s="1"/>
      <c r="B44" s="1"/>
      <c r="C44" s="14"/>
      <c r="D44" s="1"/>
      <c r="E44" s="1"/>
      <c r="F44" s="1"/>
      <c r="G44" s="1"/>
      <c r="H44" s="1"/>
      <c r="I44" s="1"/>
      <c r="K44" s="1"/>
      <c r="L44" s="1"/>
      <c r="M44" s="1"/>
      <c r="V44">
        <v>42</v>
      </c>
      <c r="W44">
        <v>2</v>
      </c>
      <c r="Y44">
        <v>42</v>
      </c>
      <c r="Z44">
        <v>2</v>
      </c>
      <c r="AB44">
        <v>42</v>
      </c>
      <c r="AC44" t="s">
        <v>385</v>
      </c>
      <c r="AF44">
        <v>42</v>
      </c>
      <c r="AG44" t="s">
        <v>491</v>
      </c>
    </row>
    <row r="45" spans="1:33" x14ac:dyDescent="0.3">
      <c r="A45" s="1"/>
      <c r="B45" s="1"/>
      <c r="C45" s="14"/>
      <c r="D45" s="1"/>
      <c r="E45" s="1"/>
      <c r="F45" s="1"/>
      <c r="G45" s="1"/>
      <c r="H45" s="1"/>
      <c r="I45" s="1"/>
      <c r="K45" s="1"/>
      <c r="L45" s="1"/>
      <c r="M45" s="1"/>
      <c r="V45">
        <v>43</v>
      </c>
      <c r="W45">
        <v>2</v>
      </c>
      <c r="Y45">
        <v>43</v>
      </c>
      <c r="Z45">
        <v>2</v>
      </c>
      <c r="AB45">
        <v>43</v>
      </c>
      <c r="AC45" t="s">
        <v>386</v>
      </c>
      <c r="AF45">
        <v>43</v>
      </c>
      <c r="AG45" t="s">
        <v>492</v>
      </c>
    </row>
    <row r="46" spans="1:33" x14ac:dyDescent="0.3">
      <c r="A46" s="1"/>
      <c r="B46" s="1"/>
      <c r="C46" s="14"/>
      <c r="D46" s="1"/>
      <c r="E46" s="1"/>
      <c r="F46" s="1"/>
      <c r="G46" s="1"/>
      <c r="H46" s="1"/>
      <c r="I46" s="1"/>
      <c r="K46" s="1"/>
      <c r="L46" s="1"/>
      <c r="M46" s="1"/>
      <c r="V46">
        <v>44</v>
      </c>
      <c r="W46">
        <v>2</v>
      </c>
      <c r="Y46">
        <v>44</v>
      </c>
      <c r="Z46">
        <v>2</v>
      </c>
      <c r="AB46">
        <v>44</v>
      </c>
      <c r="AC46" t="s">
        <v>387</v>
      </c>
      <c r="AF46">
        <v>44</v>
      </c>
      <c r="AG46" t="s">
        <v>493</v>
      </c>
    </row>
    <row r="47" spans="1:33" x14ac:dyDescent="0.3">
      <c r="A47" s="1"/>
      <c r="B47" s="1"/>
      <c r="C47" s="14"/>
      <c r="D47" s="1"/>
      <c r="E47" s="1"/>
      <c r="F47" s="1"/>
      <c r="G47" s="1"/>
      <c r="H47" s="1"/>
      <c r="I47" s="1"/>
      <c r="K47" s="1"/>
      <c r="L47" s="1"/>
      <c r="M47" s="1"/>
      <c r="V47">
        <v>45</v>
      </c>
      <c r="W47">
        <v>2</v>
      </c>
      <c r="Y47">
        <v>45</v>
      </c>
      <c r="Z47">
        <v>2</v>
      </c>
      <c r="AB47">
        <v>45</v>
      </c>
      <c r="AC47" t="s">
        <v>388</v>
      </c>
      <c r="AF47">
        <v>45</v>
      </c>
      <c r="AG47" t="s">
        <v>494</v>
      </c>
    </row>
    <row r="48" spans="1:33" x14ac:dyDescent="0.3">
      <c r="A48" s="1"/>
      <c r="B48" s="1"/>
      <c r="C48" s="14"/>
      <c r="D48" s="1"/>
      <c r="E48" s="1"/>
      <c r="F48" s="1"/>
      <c r="G48" s="1"/>
      <c r="H48" s="1"/>
      <c r="I48" s="1"/>
      <c r="K48" s="1"/>
      <c r="L48" s="1"/>
      <c r="M48" s="1"/>
      <c r="V48">
        <v>46</v>
      </c>
      <c r="W48">
        <v>2</v>
      </c>
      <c r="Y48">
        <v>46</v>
      </c>
      <c r="Z48">
        <v>2</v>
      </c>
      <c r="AB48">
        <v>46</v>
      </c>
      <c r="AC48" t="s">
        <v>389</v>
      </c>
      <c r="AF48">
        <v>46</v>
      </c>
      <c r="AG48" t="s">
        <v>495</v>
      </c>
    </row>
    <row r="49" spans="1:33" x14ac:dyDescent="0.3">
      <c r="A49" s="1"/>
      <c r="B49" s="1"/>
      <c r="C49" s="14"/>
      <c r="D49" s="1"/>
      <c r="E49" s="1"/>
      <c r="F49" s="1"/>
      <c r="G49" s="1"/>
      <c r="H49" s="1"/>
      <c r="I49" s="1"/>
      <c r="K49" s="1"/>
      <c r="L49" s="1"/>
      <c r="M49" s="1"/>
      <c r="V49">
        <v>47</v>
      </c>
      <c r="W49">
        <v>2</v>
      </c>
      <c r="Y49">
        <v>47</v>
      </c>
      <c r="Z49">
        <v>2</v>
      </c>
      <c r="AB49">
        <v>47</v>
      </c>
      <c r="AC49" t="s">
        <v>390</v>
      </c>
      <c r="AF49">
        <v>47</v>
      </c>
      <c r="AG49" t="s">
        <v>496</v>
      </c>
    </row>
    <row r="50" spans="1:33" x14ac:dyDescent="0.3">
      <c r="A50" s="1"/>
      <c r="B50" s="1"/>
      <c r="C50" s="14"/>
      <c r="D50" s="1"/>
      <c r="E50" s="1"/>
      <c r="F50" s="1"/>
      <c r="G50" s="1"/>
      <c r="H50" s="1"/>
      <c r="I50" s="1"/>
      <c r="K50" s="1"/>
      <c r="L50" s="1"/>
      <c r="M50" s="1"/>
      <c r="V50">
        <v>48</v>
      </c>
      <c r="W50">
        <v>2</v>
      </c>
      <c r="Y50">
        <v>48</v>
      </c>
      <c r="Z50">
        <v>2</v>
      </c>
      <c r="AB50">
        <v>48</v>
      </c>
      <c r="AC50" t="s">
        <v>391</v>
      </c>
      <c r="AF50">
        <v>48</v>
      </c>
      <c r="AG50" t="s">
        <v>497</v>
      </c>
    </row>
    <row r="51" spans="1:33" x14ac:dyDescent="0.3">
      <c r="A51" s="1"/>
      <c r="B51" s="1"/>
      <c r="C51" s="14"/>
      <c r="D51" s="1"/>
      <c r="E51" s="1"/>
      <c r="F51" s="1"/>
      <c r="G51" s="1"/>
      <c r="H51" s="1"/>
      <c r="I51" s="1"/>
      <c r="V51">
        <v>49</v>
      </c>
      <c r="W51">
        <v>2</v>
      </c>
      <c r="Y51">
        <v>49</v>
      </c>
      <c r="Z51">
        <v>2</v>
      </c>
      <c r="AB51">
        <v>49</v>
      </c>
      <c r="AC51" t="s">
        <v>195</v>
      </c>
      <c r="AF51">
        <v>49</v>
      </c>
      <c r="AG51" t="s">
        <v>498</v>
      </c>
    </row>
    <row r="52" spans="1:33" x14ac:dyDescent="0.3">
      <c r="A52" s="1"/>
      <c r="B52" s="1"/>
      <c r="C52" s="14"/>
      <c r="D52" s="1"/>
      <c r="E52" s="1"/>
      <c r="F52" s="1"/>
      <c r="G52" s="1"/>
      <c r="H52" s="1"/>
      <c r="I52" s="1"/>
      <c r="V52">
        <v>50</v>
      </c>
      <c r="W52">
        <v>2</v>
      </c>
      <c r="Y52">
        <v>50</v>
      </c>
      <c r="Z52">
        <v>3</v>
      </c>
      <c r="AB52">
        <v>50</v>
      </c>
      <c r="AC52" t="s">
        <v>392</v>
      </c>
      <c r="AF52">
        <v>50</v>
      </c>
      <c r="AG52" t="s">
        <v>499</v>
      </c>
    </row>
    <row r="53" spans="1:33" x14ac:dyDescent="0.3">
      <c r="A53" s="1"/>
      <c r="B53" s="1"/>
      <c r="C53" s="14"/>
      <c r="D53" s="1"/>
      <c r="E53" s="1"/>
      <c r="F53" s="1"/>
      <c r="G53" s="1"/>
      <c r="H53" s="1"/>
      <c r="I53" s="1"/>
      <c r="V53">
        <v>51</v>
      </c>
      <c r="W53">
        <v>2</v>
      </c>
      <c r="Y53">
        <v>51</v>
      </c>
      <c r="Z53">
        <v>3</v>
      </c>
      <c r="AB53">
        <v>51</v>
      </c>
      <c r="AC53" t="s">
        <v>393</v>
      </c>
      <c r="AF53">
        <v>51</v>
      </c>
      <c r="AG53" t="s">
        <v>500</v>
      </c>
    </row>
    <row r="54" spans="1:33" x14ac:dyDescent="0.3">
      <c r="V54">
        <v>52</v>
      </c>
      <c r="W54">
        <v>2</v>
      </c>
      <c r="Y54">
        <v>52</v>
      </c>
      <c r="Z54">
        <v>3</v>
      </c>
      <c r="AB54">
        <v>52</v>
      </c>
      <c r="AC54" t="s">
        <v>394</v>
      </c>
      <c r="AD54">
        <v>4</v>
      </c>
      <c r="AF54">
        <v>52</v>
      </c>
      <c r="AG54" t="s">
        <v>501</v>
      </c>
    </row>
    <row r="55" spans="1:33" x14ac:dyDescent="0.3">
      <c r="V55">
        <v>53</v>
      </c>
      <c r="W55">
        <v>2</v>
      </c>
      <c r="Y55">
        <v>53</v>
      </c>
      <c r="Z55">
        <v>3</v>
      </c>
      <c r="AB55">
        <v>53</v>
      </c>
      <c r="AC55" t="s">
        <v>395</v>
      </c>
      <c r="AD55">
        <v>5</v>
      </c>
      <c r="AF55">
        <v>53</v>
      </c>
      <c r="AG55" t="s">
        <v>225</v>
      </c>
    </row>
    <row r="56" spans="1:33" x14ac:dyDescent="0.3">
      <c r="V56">
        <v>54</v>
      </c>
      <c r="W56">
        <v>2</v>
      </c>
      <c r="Y56">
        <v>54</v>
      </c>
      <c r="Z56">
        <v>3</v>
      </c>
      <c r="AB56">
        <v>54</v>
      </c>
      <c r="AC56" t="s">
        <v>396</v>
      </c>
      <c r="AF56">
        <v>54</v>
      </c>
      <c r="AG56" t="s">
        <v>444</v>
      </c>
    </row>
    <row r="57" spans="1:33" x14ac:dyDescent="0.3">
      <c r="V57">
        <v>55</v>
      </c>
      <c r="W57">
        <v>2</v>
      </c>
      <c r="Y57">
        <v>55</v>
      </c>
      <c r="Z57">
        <v>3</v>
      </c>
      <c r="AB57">
        <v>55</v>
      </c>
      <c r="AC57" t="s">
        <v>397</v>
      </c>
      <c r="AF57">
        <v>55</v>
      </c>
      <c r="AG57" t="s">
        <v>456</v>
      </c>
    </row>
    <row r="58" spans="1:33" x14ac:dyDescent="0.3">
      <c r="V58">
        <v>56</v>
      </c>
      <c r="W58">
        <v>2</v>
      </c>
      <c r="Y58">
        <v>56</v>
      </c>
      <c r="Z58">
        <v>3</v>
      </c>
      <c r="AB58">
        <v>56</v>
      </c>
      <c r="AC58" t="s">
        <v>398</v>
      </c>
      <c r="AF58">
        <v>56</v>
      </c>
      <c r="AG58" t="s">
        <v>502</v>
      </c>
    </row>
    <row r="59" spans="1:33" x14ac:dyDescent="0.3">
      <c r="V59">
        <v>57</v>
      </c>
      <c r="W59">
        <v>2</v>
      </c>
      <c r="Y59">
        <v>57</v>
      </c>
      <c r="Z59">
        <v>3</v>
      </c>
      <c r="AB59">
        <v>57</v>
      </c>
      <c r="AC59" t="s">
        <v>399</v>
      </c>
    </row>
    <row r="60" spans="1:33" x14ac:dyDescent="0.3">
      <c r="V60">
        <v>58</v>
      </c>
      <c r="W60">
        <v>2</v>
      </c>
      <c r="Y60">
        <v>58</v>
      </c>
      <c r="Z60">
        <v>3</v>
      </c>
      <c r="AB60">
        <v>58</v>
      </c>
      <c r="AC60" t="s">
        <v>400</v>
      </c>
    </row>
    <row r="61" spans="1:33" x14ac:dyDescent="0.3">
      <c r="V61">
        <v>59</v>
      </c>
      <c r="W61">
        <v>3</v>
      </c>
      <c r="Y61">
        <v>59</v>
      </c>
      <c r="Z61">
        <v>3</v>
      </c>
      <c r="AB61">
        <v>59</v>
      </c>
      <c r="AC61" t="s">
        <v>401</v>
      </c>
    </row>
    <row r="62" spans="1:33" x14ac:dyDescent="0.3">
      <c r="V62">
        <v>60</v>
      </c>
      <c r="W62">
        <v>3</v>
      </c>
      <c r="Y62">
        <v>60</v>
      </c>
      <c r="Z62">
        <v>3</v>
      </c>
      <c r="AB62">
        <v>60</v>
      </c>
      <c r="AC62" t="s">
        <v>402</v>
      </c>
    </row>
    <row r="63" spans="1:33" x14ac:dyDescent="0.3">
      <c r="V63">
        <v>61</v>
      </c>
      <c r="W63">
        <v>3</v>
      </c>
      <c r="Y63">
        <v>61</v>
      </c>
      <c r="Z63">
        <v>3</v>
      </c>
      <c r="AB63">
        <v>61</v>
      </c>
      <c r="AC63" t="s">
        <v>403</v>
      </c>
    </row>
    <row r="64" spans="1:33" x14ac:dyDescent="0.3">
      <c r="V64">
        <v>62</v>
      </c>
      <c r="W64">
        <v>3</v>
      </c>
      <c r="Y64">
        <v>62</v>
      </c>
      <c r="Z64">
        <v>3</v>
      </c>
      <c r="AB64">
        <v>62</v>
      </c>
      <c r="AC64" t="s">
        <v>226</v>
      </c>
    </row>
    <row r="65" spans="22:30" x14ac:dyDescent="0.3">
      <c r="V65">
        <v>63</v>
      </c>
      <c r="W65">
        <v>3</v>
      </c>
      <c r="Y65">
        <v>63</v>
      </c>
      <c r="Z65">
        <v>3</v>
      </c>
      <c r="AB65">
        <v>63</v>
      </c>
      <c r="AC65" t="s">
        <v>404</v>
      </c>
    </row>
    <row r="66" spans="22:30" x14ac:dyDescent="0.3">
      <c r="V66">
        <v>64</v>
      </c>
      <c r="W66">
        <v>3</v>
      </c>
      <c r="Y66">
        <v>64</v>
      </c>
      <c r="Z66">
        <v>3</v>
      </c>
      <c r="AB66">
        <v>64</v>
      </c>
      <c r="AC66" t="s">
        <v>405</v>
      </c>
    </row>
    <row r="67" spans="22:30" x14ac:dyDescent="0.3">
      <c r="V67">
        <v>65</v>
      </c>
      <c r="W67">
        <v>3</v>
      </c>
      <c r="Y67">
        <v>65</v>
      </c>
      <c r="Z67">
        <v>4</v>
      </c>
      <c r="AB67">
        <v>65</v>
      </c>
      <c r="AC67" t="s">
        <v>406</v>
      </c>
      <c r="AD67">
        <v>5</v>
      </c>
    </row>
    <row r="68" spans="22:30" x14ac:dyDescent="0.3">
      <c r="V68">
        <v>66</v>
      </c>
      <c r="W68">
        <v>3</v>
      </c>
      <c r="Y68">
        <v>66</v>
      </c>
      <c r="Z68">
        <v>4</v>
      </c>
      <c r="AB68">
        <v>66</v>
      </c>
      <c r="AC68" t="s">
        <v>407</v>
      </c>
      <c r="AD68">
        <v>6</v>
      </c>
    </row>
    <row r="69" spans="22:30" x14ac:dyDescent="0.3">
      <c r="V69">
        <v>67</v>
      </c>
      <c r="W69">
        <v>3</v>
      </c>
      <c r="Y69">
        <v>67</v>
      </c>
      <c r="Z69">
        <v>4</v>
      </c>
      <c r="AB69">
        <v>67</v>
      </c>
      <c r="AC69" t="s">
        <v>408</v>
      </c>
    </row>
    <row r="70" spans="22:30" x14ac:dyDescent="0.3">
      <c r="V70">
        <v>68</v>
      </c>
      <c r="W70">
        <v>3</v>
      </c>
      <c r="Y70">
        <v>68</v>
      </c>
      <c r="Z70">
        <v>4</v>
      </c>
      <c r="AB70">
        <v>68</v>
      </c>
      <c r="AC70" t="s">
        <v>409</v>
      </c>
    </row>
    <row r="71" spans="22:30" x14ac:dyDescent="0.3">
      <c r="V71">
        <v>69</v>
      </c>
      <c r="W71">
        <v>3</v>
      </c>
      <c r="Y71">
        <v>69</v>
      </c>
      <c r="Z71">
        <v>4</v>
      </c>
      <c r="AB71">
        <v>69</v>
      </c>
      <c r="AC71" t="s">
        <v>410</v>
      </c>
    </row>
    <row r="72" spans="22:30" x14ac:dyDescent="0.3">
      <c r="V72">
        <v>70</v>
      </c>
      <c r="W72">
        <v>3</v>
      </c>
      <c r="Y72">
        <v>70</v>
      </c>
      <c r="Z72">
        <v>4</v>
      </c>
      <c r="AB72">
        <v>70</v>
      </c>
      <c r="AC72" t="s">
        <v>411</v>
      </c>
    </row>
    <row r="73" spans="22:30" x14ac:dyDescent="0.3">
      <c r="V73">
        <v>71</v>
      </c>
      <c r="W73">
        <v>3</v>
      </c>
      <c r="Y73">
        <v>71</v>
      </c>
      <c r="Z73">
        <v>4</v>
      </c>
      <c r="AB73">
        <v>71</v>
      </c>
      <c r="AC73" t="s">
        <v>412</v>
      </c>
    </row>
    <row r="74" spans="22:30" x14ac:dyDescent="0.3">
      <c r="V74">
        <v>72</v>
      </c>
      <c r="W74">
        <v>3</v>
      </c>
      <c r="Y74">
        <v>72</v>
      </c>
      <c r="Z74">
        <v>4</v>
      </c>
      <c r="AB74">
        <v>72</v>
      </c>
      <c r="AC74" t="s">
        <v>413</v>
      </c>
    </row>
    <row r="75" spans="22:30" x14ac:dyDescent="0.3">
      <c r="V75">
        <v>73</v>
      </c>
      <c r="W75">
        <v>3</v>
      </c>
      <c r="Y75">
        <v>73</v>
      </c>
      <c r="Z75">
        <v>4</v>
      </c>
      <c r="AB75">
        <v>73</v>
      </c>
      <c r="AC75" t="s">
        <v>414</v>
      </c>
    </row>
    <row r="76" spans="22:30" x14ac:dyDescent="0.3">
      <c r="V76">
        <v>74</v>
      </c>
      <c r="W76">
        <v>3</v>
      </c>
      <c r="Y76">
        <v>74</v>
      </c>
      <c r="Z76">
        <v>4</v>
      </c>
      <c r="AB76">
        <v>74</v>
      </c>
      <c r="AC76" t="s">
        <v>415</v>
      </c>
    </row>
    <row r="77" spans="22:30" x14ac:dyDescent="0.3">
      <c r="V77">
        <v>75</v>
      </c>
      <c r="W77">
        <v>3</v>
      </c>
      <c r="Y77">
        <v>75</v>
      </c>
      <c r="Z77">
        <v>4</v>
      </c>
      <c r="AB77">
        <v>75</v>
      </c>
      <c r="AC77" t="s">
        <v>416</v>
      </c>
    </row>
    <row r="78" spans="22:30" x14ac:dyDescent="0.3">
      <c r="V78">
        <v>76</v>
      </c>
      <c r="W78">
        <v>3</v>
      </c>
      <c r="Y78">
        <v>76</v>
      </c>
      <c r="Z78">
        <v>5</v>
      </c>
      <c r="AB78">
        <v>76</v>
      </c>
      <c r="AC78" t="s">
        <v>417</v>
      </c>
    </row>
    <row r="79" spans="22:30" x14ac:dyDescent="0.3">
      <c r="V79">
        <v>77</v>
      </c>
      <c r="W79">
        <v>4</v>
      </c>
      <c r="Y79">
        <v>77</v>
      </c>
      <c r="Z79">
        <v>5</v>
      </c>
      <c r="AB79">
        <v>77</v>
      </c>
      <c r="AC79" t="s">
        <v>418</v>
      </c>
    </row>
    <row r="80" spans="22:30" x14ac:dyDescent="0.3">
      <c r="V80">
        <v>78</v>
      </c>
      <c r="W80">
        <v>4</v>
      </c>
      <c r="Y80">
        <v>78</v>
      </c>
      <c r="Z80">
        <v>5</v>
      </c>
      <c r="AB80">
        <v>78</v>
      </c>
      <c r="AC80" t="s">
        <v>419</v>
      </c>
      <c r="AD80">
        <v>6</v>
      </c>
    </row>
    <row r="81" spans="22:30" x14ac:dyDescent="0.3">
      <c r="V81">
        <v>79</v>
      </c>
      <c r="W81">
        <v>4</v>
      </c>
      <c r="Y81">
        <v>79</v>
      </c>
      <c r="Z81">
        <v>5</v>
      </c>
      <c r="AB81">
        <v>79</v>
      </c>
      <c r="AC81" t="s">
        <v>420</v>
      </c>
      <c r="AD81">
        <v>7</v>
      </c>
    </row>
    <row r="82" spans="22:30" x14ac:dyDescent="0.3">
      <c r="V82">
        <v>80</v>
      </c>
      <c r="W82">
        <v>4</v>
      </c>
      <c r="Y82">
        <v>80</v>
      </c>
      <c r="Z82">
        <v>5</v>
      </c>
      <c r="AB82">
        <v>80</v>
      </c>
      <c r="AC82" t="s">
        <v>421</v>
      </c>
    </row>
    <row r="83" spans="22:30" x14ac:dyDescent="0.3">
      <c r="V83">
        <v>81</v>
      </c>
      <c r="W83">
        <v>4</v>
      </c>
      <c r="Y83">
        <v>81</v>
      </c>
      <c r="Z83">
        <v>5</v>
      </c>
      <c r="AB83">
        <v>81</v>
      </c>
      <c r="AC83" t="s">
        <v>422</v>
      </c>
    </row>
    <row r="84" spans="22:30" x14ac:dyDescent="0.3">
      <c r="V84">
        <v>82</v>
      </c>
      <c r="W84">
        <v>4</v>
      </c>
      <c r="Y84">
        <v>82</v>
      </c>
      <c r="Z84">
        <v>5</v>
      </c>
      <c r="AB84">
        <v>82</v>
      </c>
      <c r="AC84" t="s">
        <v>423</v>
      </c>
    </row>
    <row r="85" spans="22:30" x14ac:dyDescent="0.3">
      <c r="V85">
        <v>83</v>
      </c>
      <c r="W85">
        <v>4</v>
      </c>
      <c r="Y85">
        <v>83</v>
      </c>
      <c r="Z85">
        <v>5</v>
      </c>
      <c r="AB85">
        <v>83</v>
      </c>
      <c r="AC85" t="s">
        <v>424</v>
      </c>
    </row>
    <row r="86" spans="22:30" x14ac:dyDescent="0.3">
      <c r="V86">
        <v>84</v>
      </c>
      <c r="W86">
        <v>4</v>
      </c>
      <c r="Y86">
        <v>84</v>
      </c>
      <c r="Z86">
        <v>5</v>
      </c>
      <c r="AB86">
        <v>84</v>
      </c>
      <c r="AC86" t="s">
        <v>425</v>
      </c>
    </row>
    <row r="87" spans="22:30" x14ac:dyDescent="0.3">
      <c r="V87">
        <v>85</v>
      </c>
      <c r="W87">
        <v>4</v>
      </c>
      <c r="Y87">
        <v>85</v>
      </c>
      <c r="Z87">
        <v>6</v>
      </c>
      <c r="AB87">
        <v>85</v>
      </c>
      <c r="AC87" t="s">
        <v>426</v>
      </c>
    </row>
    <row r="88" spans="22:30" x14ac:dyDescent="0.3">
      <c r="V88">
        <v>86</v>
      </c>
      <c r="W88">
        <v>4</v>
      </c>
      <c r="Y88">
        <v>86</v>
      </c>
      <c r="Z88">
        <v>6</v>
      </c>
      <c r="AB88">
        <v>86</v>
      </c>
      <c r="AC88" t="s">
        <v>427</v>
      </c>
    </row>
    <row r="89" spans="22:30" x14ac:dyDescent="0.3">
      <c r="V89">
        <v>87</v>
      </c>
      <c r="W89">
        <v>4</v>
      </c>
      <c r="Y89">
        <v>87</v>
      </c>
      <c r="Z89">
        <v>6</v>
      </c>
      <c r="AB89">
        <v>87</v>
      </c>
      <c r="AC89" t="s">
        <v>428</v>
      </c>
    </row>
    <row r="90" spans="22:30" x14ac:dyDescent="0.3">
      <c r="V90">
        <v>88</v>
      </c>
      <c r="W90">
        <v>4</v>
      </c>
      <c r="Y90">
        <v>88</v>
      </c>
      <c r="Z90">
        <v>6</v>
      </c>
      <c r="AB90">
        <v>88</v>
      </c>
      <c r="AC90" t="s">
        <v>429</v>
      </c>
    </row>
    <row r="91" spans="22:30" x14ac:dyDescent="0.3">
      <c r="V91">
        <v>89</v>
      </c>
      <c r="W91">
        <v>5</v>
      </c>
      <c r="Y91">
        <v>89</v>
      </c>
      <c r="Z91">
        <v>6</v>
      </c>
      <c r="AB91">
        <v>89</v>
      </c>
      <c r="AC91" t="s">
        <v>430</v>
      </c>
    </row>
    <row r="92" spans="22:30" x14ac:dyDescent="0.3">
      <c r="V92">
        <v>90</v>
      </c>
      <c r="W92">
        <v>5</v>
      </c>
      <c r="Y92">
        <v>90</v>
      </c>
      <c r="Z92">
        <v>6</v>
      </c>
      <c r="AB92">
        <v>90</v>
      </c>
      <c r="AC92" t="s">
        <v>150</v>
      </c>
    </row>
    <row r="93" spans="22:30" x14ac:dyDescent="0.3">
      <c r="V93">
        <v>91</v>
      </c>
      <c r="W93">
        <v>5</v>
      </c>
      <c r="Y93">
        <v>91</v>
      </c>
      <c r="Z93">
        <v>6</v>
      </c>
      <c r="AB93">
        <v>91</v>
      </c>
      <c r="AC93" t="s">
        <v>431</v>
      </c>
      <c r="AD93">
        <v>7</v>
      </c>
    </row>
    <row r="94" spans="22:30" x14ac:dyDescent="0.3">
      <c r="V94">
        <v>92</v>
      </c>
      <c r="W94">
        <v>5</v>
      </c>
      <c r="Y94">
        <v>92</v>
      </c>
      <c r="Z94">
        <v>7</v>
      </c>
      <c r="AB94">
        <v>92</v>
      </c>
      <c r="AC94" t="s">
        <v>432</v>
      </c>
      <c r="AD94">
        <v>8</v>
      </c>
    </row>
    <row r="95" spans="22:30" x14ac:dyDescent="0.3">
      <c r="V95">
        <v>93</v>
      </c>
      <c r="W95">
        <v>5</v>
      </c>
      <c r="Y95">
        <v>93</v>
      </c>
      <c r="Z95">
        <v>7</v>
      </c>
      <c r="AB95">
        <v>93</v>
      </c>
      <c r="AC95" t="s">
        <v>433</v>
      </c>
    </row>
    <row r="96" spans="22:30" x14ac:dyDescent="0.3">
      <c r="V96">
        <v>94</v>
      </c>
      <c r="W96">
        <v>5</v>
      </c>
      <c r="Y96">
        <v>94</v>
      </c>
      <c r="Z96">
        <v>7</v>
      </c>
      <c r="AB96">
        <v>94</v>
      </c>
      <c r="AC96" t="s">
        <v>434</v>
      </c>
    </row>
    <row r="97" spans="22:30" x14ac:dyDescent="0.3">
      <c r="V97">
        <v>95</v>
      </c>
      <c r="W97">
        <v>5</v>
      </c>
      <c r="Y97">
        <v>95</v>
      </c>
      <c r="Z97">
        <v>7</v>
      </c>
      <c r="AB97">
        <v>95</v>
      </c>
      <c r="AC97" t="s">
        <v>435</v>
      </c>
    </row>
    <row r="98" spans="22:30" x14ac:dyDescent="0.3">
      <c r="V98">
        <v>96</v>
      </c>
      <c r="W98">
        <v>6</v>
      </c>
      <c r="Y98">
        <v>96</v>
      </c>
      <c r="Z98">
        <v>7</v>
      </c>
      <c r="AB98">
        <v>96</v>
      </c>
      <c r="AC98" t="s">
        <v>436</v>
      </c>
    </row>
    <row r="99" spans="22:30" x14ac:dyDescent="0.3">
      <c r="V99">
        <v>97</v>
      </c>
      <c r="W99">
        <v>6</v>
      </c>
      <c r="Y99">
        <v>97</v>
      </c>
      <c r="Z99">
        <v>8</v>
      </c>
      <c r="AB99">
        <v>97</v>
      </c>
      <c r="AC99" t="s">
        <v>437</v>
      </c>
    </row>
    <row r="100" spans="22:30" x14ac:dyDescent="0.3">
      <c r="V100">
        <v>98</v>
      </c>
      <c r="W100">
        <v>6</v>
      </c>
      <c r="Y100">
        <v>98</v>
      </c>
      <c r="Z100">
        <v>8</v>
      </c>
      <c r="AB100">
        <v>98</v>
      </c>
      <c r="AC100" t="s">
        <v>438</v>
      </c>
    </row>
    <row r="101" spans="22:30" x14ac:dyDescent="0.3">
      <c r="V101">
        <v>99</v>
      </c>
      <c r="W101">
        <v>6</v>
      </c>
      <c r="Y101">
        <v>99</v>
      </c>
      <c r="Z101">
        <v>8</v>
      </c>
      <c r="AB101">
        <v>99</v>
      </c>
      <c r="AC101" t="s">
        <v>439</v>
      </c>
    </row>
    <row r="102" spans="22:30" x14ac:dyDescent="0.3">
      <c r="V102">
        <v>100</v>
      </c>
      <c r="W102">
        <v>7</v>
      </c>
      <c r="Y102">
        <v>100</v>
      </c>
      <c r="Z102">
        <v>9</v>
      </c>
      <c r="AB102">
        <v>100</v>
      </c>
      <c r="AC102" t="s">
        <v>440</v>
      </c>
    </row>
    <row r="103" spans="22:30" x14ac:dyDescent="0.3">
      <c r="AB103">
        <v>101</v>
      </c>
      <c r="AC103" t="s">
        <v>441</v>
      </c>
    </row>
    <row r="104" spans="22:30" x14ac:dyDescent="0.3">
      <c r="AB104">
        <v>102</v>
      </c>
      <c r="AC104" t="s">
        <v>442</v>
      </c>
    </row>
    <row r="105" spans="22:30" x14ac:dyDescent="0.3">
      <c r="AB105">
        <v>103</v>
      </c>
      <c r="AC105" t="s">
        <v>443</v>
      </c>
    </row>
    <row r="106" spans="22:30" x14ac:dyDescent="0.3">
      <c r="AB106">
        <v>104</v>
      </c>
      <c r="AC106" t="s">
        <v>444</v>
      </c>
      <c r="AD106">
        <v>8</v>
      </c>
    </row>
    <row r="107" spans="22:30" x14ac:dyDescent="0.3">
      <c r="AB107">
        <v>105</v>
      </c>
      <c r="AC107" t="s">
        <v>445</v>
      </c>
      <c r="AD107">
        <v>9</v>
      </c>
    </row>
    <row r="108" spans="22:30" x14ac:dyDescent="0.3">
      <c r="AB108">
        <v>106</v>
      </c>
      <c r="AC108" t="s">
        <v>446</v>
      </c>
    </row>
    <row r="109" spans="22:30" x14ac:dyDescent="0.3">
      <c r="AB109">
        <v>107</v>
      </c>
      <c r="AC109" t="s">
        <v>447</v>
      </c>
    </row>
    <row r="110" spans="22:30" x14ac:dyDescent="0.3">
      <c r="AB110">
        <v>108</v>
      </c>
      <c r="AC110" t="s">
        <v>448</v>
      </c>
    </row>
    <row r="111" spans="22:30" x14ac:dyDescent="0.3">
      <c r="AB111">
        <v>109</v>
      </c>
      <c r="AC111" t="s">
        <v>449</v>
      </c>
    </row>
    <row r="112" spans="22:30" x14ac:dyDescent="0.3">
      <c r="AB112">
        <v>110</v>
      </c>
      <c r="AC112" t="s">
        <v>450</v>
      </c>
    </row>
    <row r="113" spans="28:29" x14ac:dyDescent="0.3">
      <c r="AB113">
        <v>111</v>
      </c>
      <c r="AC113" t="s">
        <v>451</v>
      </c>
    </row>
    <row r="114" spans="28:29" x14ac:dyDescent="0.3">
      <c r="AB114">
        <v>112</v>
      </c>
      <c r="AC114" t="s">
        <v>452</v>
      </c>
    </row>
    <row r="115" spans="28:29" x14ac:dyDescent="0.3">
      <c r="AB115">
        <v>113</v>
      </c>
      <c r="AC115" t="s">
        <v>453</v>
      </c>
    </row>
    <row r="116" spans="28:29" x14ac:dyDescent="0.3">
      <c r="AB116">
        <v>114</v>
      </c>
      <c r="AC116" t="s">
        <v>454</v>
      </c>
    </row>
    <row r="117" spans="28:29" x14ac:dyDescent="0.3">
      <c r="AB117">
        <v>115</v>
      </c>
      <c r="AC117" t="s">
        <v>225</v>
      </c>
    </row>
    <row r="118" spans="28:29" x14ac:dyDescent="0.3">
      <c r="AB118">
        <v>116</v>
      </c>
      <c r="AC118" t="s">
        <v>455</v>
      </c>
    </row>
    <row r="119" spans="28:29" x14ac:dyDescent="0.3">
      <c r="AB119">
        <v>117</v>
      </c>
      <c r="AC119" t="s">
        <v>456</v>
      </c>
    </row>
  </sheetData>
  <pageMargins left="0.7" right="0.7" top="0.75" bottom="0.75" header="0.3" footer="0.3"/>
  <pageSetup orientation="portrait" horizontalDpi="0" verticalDpi="0" r:id="rId1"/>
  <ignoredErrors>
    <ignoredError sqref="N2 P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831F-110F-4337-84DA-1BC313BB8D60}">
  <dimension ref="A1:AJ101"/>
  <sheetViews>
    <sheetView workbookViewId="0">
      <selection activeCell="G14" sqref="G14"/>
    </sheetView>
  </sheetViews>
  <sheetFormatPr defaultRowHeight="14.4" x14ac:dyDescent="0.3"/>
  <cols>
    <col min="1" max="1" width="5.77734375" customWidth="1"/>
    <col min="2" max="7" width="20.33203125" customWidth="1"/>
    <col min="8" max="9" width="8.88671875" style="1"/>
    <col min="10" max="10" width="83.6640625" style="1" customWidth="1"/>
    <col min="15" max="15" width="12.33203125" customWidth="1"/>
    <col min="16" max="17" width="12" customWidth="1"/>
    <col min="18" max="18" width="16.33203125" customWidth="1"/>
    <col min="19" max="19" width="14.109375" customWidth="1"/>
    <col min="23" max="23" width="8.88671875" customWidth="1"/>
    <col min="24" max="24" width="14.21875" bestFit="1" customWidth="1"/>
    <col min="27" max="30" width="8.88671875" style="9"/>
    <col min="32" max="32" width="8.88671875" style="9"/>
    <col min="36" max="36" width="16.6640625" customWidth="1"/>
  </cols>
  <sheetData>
    <row r="1" spans="1:36" ht="15" thickBot="1" x14ac:dyDescent="0.35">
      <c r="A1" s="37" t="s">
        <v>156</v>
      </c>
      <c r="B1" s="37" t="s">
        <v>531</v>
      </c>
      <c r="C1" s="39" t="s">
        <v>158</v>
      </c>
      <c r="D1" s="39" t="s">
        <v>532</v>
      </c>
      <c r="E1" s="39" t="s">
        <v>533</v>
      </c>
      <c r="F1" s="39" t="s">
        <v>568</v>
      </c>
      <c r="G1" s="40" t="s">
        <v>569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560</v>
      </c>
      <c r="P1" s="1" t="s">
        <v>561</v>
      </c>
      <c r="Q1" t="s">
        <v>568</v>
      </c>
      <c r="R1" t="s">
        <v>570</v>
      </c>
      <c r="S1" t="s">
        <v>571</v>
      </c>
      <c r="T1" t="s">
        <v>531</v>
      </c>
      <c r="W1" t="s">
        <v>158</v>
      </c>
      <c r="AA1" s="9" t="s">
        <v>553</v>
      </c>
      <c r="AB1" s="9" t="s">
        <v>59</v>
      </c>
      <c r="AC1" s="9" t="s">
        <v>554</v>
      </c>
      <c r="AD1" s="9" t="s">
        <v>358</v>
      </c>
    </row>
    <row r="2" spans="1:36" x14ac:dyDescent="0.3">
      <c r="A2">
        <v>1</v>
      </c>
      <c r="B2" s="6" t="str">
        <f ca="1">VLOOKUP(K2,$T$2:$U$101,2)</f>
        <v>Human</v>
      </c>
      <c r="C2" s="6" t="str">
        <f ca="1">VLOOKUP(L2,$W$2:$X$101,2)</f>
        <v>Plate &amp; Shield</v>
      </c>
      <c r="D2" s="6" t="str" cm="1">
        <f t="array" aca="1" ref="D2" ca="1">_xlfn.IFS(C2="Leather", VLOOKUP(M2,$Z$2:$AD$101,2), C2 = "Scale", VLOOKUP(M2,$Z$2:$AD$101,2), C2 = "Banded", VLOOKUP(M2,$Z$2:$AD$101,2), C2 = "Chain", VLOOKUP(M2,$Z$2:$AD$101,3), C2 = "Plate", VLOOKUP(M2,$Z$2:$AD$101,4), C2 = "Suit", VLOOKUP(M2,$Z$2:$AD$101,4), C2 = "Shield", VLOOKUP(M2,$Z$2:$AD$101,5), C2 = "Scale &amp; Shield", VLOOKUP(M2,$Z$2:$AD$101,2), C2 = "Chain &amp; Shield", VLOOKUP(M2,$Z$2:$AD$101,3), C2 = "Banded &amp; Shield", VLOOKUP(M2,$Z$2:$AD$101,2), C2 = "Plate &amp; Shield", VLOOKUP(M2,$Z$2:$AD$101,4))</f>
        <v>+5</v>
      </c>
      <c r="E2" s="6" t="str">
        <f ca="1">IF(O2 &lt;= VLOOKUP(D2,$AF$2:$AG$6,2), VLOOKUP(P2,$AI$2:$AJ$101,2), "No")</f>
        <v>Energy Drain</v>
      </c>
      <c r="F2" s="6" t="str">
        <f ca="1">IF(OR(C2 = "Scale &amp; Shield", C2 = "Chain &amp; Shield", C2 = "Banded &amp; Shield", C2 = "Plate &amp; Shield"), VLOOKUP(Q2,$Z$2:$AD$101,5), "No")</f>
        <v>+5</v>
      </c>
      <c r="G2" s="6" t="str" cm="1">
        <f t="array" aca="1" ref="G2" ca="1">IFERROR(_xlfn.IFS(F2="No","",R2&lt;=VLOOKUP(F2,$AF$2:$AG$6,2),VLOOKUP(S2,$AI$2:$AJ$101,2)), "")</f>
        <v/>
      </c>
      <c r="K2" s="1">
        <f ca="1">RANDBETWEEN(1,100)</f>
        <v>33</v>
      </c>
      <c r="L2" s="1">
        <f t="shared" ref="L2:S17" ca="1" si="0">RANDBETWEEN(1,100)</f>
        <v>97</v>
      </c>
      <c r="M2" s="1">
        <f t="shared" ca="1" si="0"/>
        <v>98</v>
      </c>
      <c r="N2" s="1">
        <f t="shared" ca="1" si="0"/>
        <v>97</v>
      </c>
      <c r="O2" s="1">
        <f t="shared" ca="1" si="0"/>
        <v>27</v>
      </c>
      <c r="P2" s="1">
        <f t="shared" ca="1" si="0"/>
        <v>45</v>
      </c>
      <c r="Q2">
        <f t="shared" ca="1" si="0"/>
        <v>98</v>
      </c>
      <c r="R2">
        <f t="shared" ca="1" si="0"/>
        <v>67</v>
      </c>
      <c r="S2">
        <f t="shared" ca="1" si="0"/>
        <v>87</v>
      </c>
      <c r="T2">
        <v>1</v>
      </c>
      <c r="U2" t="s">
        <v>538</v>
      </c>
      <c r="W2">
        <v>1</v>
      </c>
      <c r="X2" t="s">
        <v>544</v>
      </c>
      <c r="Z2">
        <v>1</v>
      </c>
      <c r="AA2" s="9" t="s">
        <v>555</v>
      </c>
      <c r="AB2" s="9" t="s">
        <v>555</v>
      </c>
      <c r="AC2" s="9" t="s">
        <v>555</v>
      </c>
      <c r="AD2" s="9" t="s">
        <v>555</v>
      </c>
      <c r="AF2" s="9" t="s">
        <v>555</v>
      </c>
      <c r="AG2">
        <v>10</v>
      </c>
      <c r="AI2">
        <v>1</v>
      </c>
      <c r="AJ2" t="s">
        <v>562</v>
      </c>
    </row>
    <row r="3" spans="1:36" x14ac:dyDescent="0.3">
      <c r="A3" s="46">
        <v>2</v>
      </c>
      <c r="B3" s="30" t="str">
        <f t="shared" ref="B3:B20" ca="1" si="1">VLOOKUP(K3,$T$2:$U$101,2)</f>
        <v>Human</v>
      </c>
      <c r="C3" s="30" t="str">
        <f t="shared" ref="C3:C20" ca="1" si="2">VLOOKUP(L3,$W$2:$X$101,2)</f>
        <v>Chain</v>
      </c>
      <c r="D3" s="30" t="str" cm="1">
        <f t="array" aca="1" ref="D3" ca="1">_xlfn.IFS(C3="Leather", VLOOKUP(M3,$Z$2:$AD$101,2), C3 = "Scale", VLOOKUP(M3,$Z$2:$AD$101,2), C3 = "Banded", VLOOKUP(M3,$Z$2:$AD$101,2), C3 = "Chain", VLOOKUP(M3,$Z$2:$AD$101,3), C3 = "Plate", VLOOKUP(M3,$Z$2:$AD$101,4), C3 = "Suit", VLOOKUP(M3,$Z$2:$AD$101,4), C3 = "Shield", VLOOKUP(M3,$Z$2:$AD$101,5), C3 = "Scale &amp; Shield", VLOOKUP(M3,$Z$2:$AD$101,2), C3 = "Chain &amp; Shield", VLOOKUP(M3,$Z$2:$AD$101,3), C3 = "Banded &amp; Shield", VLOOKUP(M3,$Z$2:$AD$101,2), C3 = "Plate &amp; Shield", VLOOKUP(M3,$Z$2:$AD$101,4))</f>
        <v>+1</v>
      </c>
      <c r="E3" s="30" t="str">
        <f t="shared" ref="E3:E20" ca="1" si="3">IF(O3 &lt;= VLOOKUP(D3,$AF$2:$AG$6,2), VLOOKUP(P3,$AI$2:$AJ$101,2), "No")</f>
        <v>No</v>
      </c>
      <c r="F3" s="30" t="str">
        <f t="shared" ref="F3:F21" ca="1" si="4">IF(OR(C3 = "Scale &amp; Shield", C3 = "Chain &amp; Shield", C3 = "Banded &amp; Shield", C3 = "Plate &amp; Shield"), VLOOKUP(Q3,$Z$2:$AD$101,5), "No")</f>
        <v>No</v>
      </c>
      <c r="G3" s="30" t="str" cm="1">
        <f t="array" aca="1" ref="G3" ca="1">IFERROR(_xlfn.IFS(F3="No","",R3&lt;=VLOOKUP(F3,$AF$2:$AG$6,2),VLOOKUP(S3,$AI$2:$AJ$101,2)), "")</f>
        <v/>
      </c>
      <c r="K3" s="1">
        <f t="shared" ref="K3:S21" ca="1" si="5">RANDBETWEEN(1,100)</f>
        <v>40</v>
      </c>
      <c r="L3" s="1">
        <f t="shared" ca="1" si="0"/>
        <v>27</v>
      </c>
      <c r="M3" s="1">
        <f t="shared" ca="1" si="0"/>
        <v>5</v>
      </c>
      <c r="N3" s="1">
        <f t="shared" ca="1" si="0"/>
        <v>30</v>
      </c>
      <c r="O3" s="1">
        <f t="shared" ca="1" si="0"/>
        <v>32</v>
      </c>
      <c r="P3" s="1">
        <f t="shared" ca="1" si="0"/>
        <v>10</v>
      </c>
      <c r="Q3">
        <f t="shared" ca="1" si="0"/>
        <v>67</v>
      </c>
      <c r="R3">
        <f t="shared" ca="1" si="0"/>
        <v>53</v>
      </c>
      <c r="S3">
        <f t="shared" ca="1" si="0"/>
        <v>68</v>
      </c>
      <c r="T3">
        <v>2</v>
      </c>
      <c r="U3" t="s">
        <v>538</v>
      </c>
      <c r="W3">
        <v>2</v>
      </c>
      <c r="X3" t="s">
        <v>544</v>
      </c>
      <c r="Z3">
        <v>2</v>
      </c>
      <c r="AA3" s="9" t="s">
        <v>555</v>
      </c>
      <c r="AB3" s="9" t="s">
        <v>555</v>
      </c>
      <c r="AC3" s="9" t="s">
        <v>555</v>
      </c>
      <c r="AD3" s="9" t="s">
        <v>555</v>
      </c>
      <c r="AF3" s="9" t="s">
        <v>556</v>
      </c>
      <c r="AG3">
        <v>15</v>
      </c>
      <c r="AI3">
        <v>2</v>
      </c>
      <c r="AJ3" t="s">
        <v>562</v>
      </c>
    </row>
    <row r="4" spans="1:36" x14ac:dyDescent="0.3">
      <c r="A4">
        <v>3</v>
      </c>
      <c r="B4" s="6" t="str">
        <f t="shared" ca="1" si="1"/>
        <v>Human</v>
      </c>
      <c r="C4" s="6" t="str">
        <f t="shared" ca="1" si="2"/>
        <v>Banded &amp; Shield</v>
      </c>
      <c r="D4" s="6" t="str" cm="1">
        <f t="array" aca="1" ref="D4" ca="1">_xlfn.IFS(C4="Leather", VLOOKUP(M4,$Z$2:$AD$101,2), C4 = "Scale", VLOOKUP(M4,$Z$2:$AD$101,2), C4 = "Banded", VLOOKUP(M4,$Z$2:$AD$101,2), C4 = "Chain", VLOOKUP(M4,$Z$2:$AD$101,3), C4 = "Plate", VLOOKUP(M4,$Z$2:$AD$101,4), C4 = "Suit", VLOOKUP(M4,$Z$2:$AD$101,4), C4 = "Shield", VLOOKUP(M4,$Z$2:$AD$101,5), C4 = "Scale &amp; Shield", VLOOKUP(M4,$Z$2:$AD$101,2), C4 = "Chain &amp; Shield", VLOOKUP(M4,$Z$2:$AD$101,3), C4 = "Banded &amp; Shield", VLOOKUP(M4,$Z$2:$AD$101,2), C4 = "Plate &amp; Shield", VLOOKUP(M4,$Z$2:$AD$101,4))</f>
        <v>+1</v>
      </c>
      <c r="E4" s="6" t="str">
        <f t="shared" ca="1" si="3"/>
        <v>No</v>
      </c>
      <c r="F4" s="6" t="str">
        <f t="shared" ca="1" si="4"/>
        <v>+1</v>
      </c>
      <c r="G4" s="6" t="str" cm="1">
        <f t="array" aca="1" ref="G4" ca="1">IFERROR(_xlfn.IFS(F4="No","",R4&lt;=VLOOKUP(F4,$AF$2:$AG$6,2),VLOOKUP(S4,$AI$2:$AJ$101,2)), "")</f>
        <v/>
      </c>
      <c r="K4" s="1">
        <f t="shared" ca="1" si="5"/>
        <v>18</v>
      </c>
      <c r="L4" s="1">
        <f t="shared" ca="1" si="0"/>
        <v>88</v>
      </c>
      <c r="M4" s="1">
        <f t="shared" ca="1" si="0"/>
        <v>10</v>
      </c>
      <c r="N4" s="1">
        <f t="shared" ca="1" si="0"/>
        <v>46</v>
      </c>
      <c r="O4" s="1">
        <f t="shared" ca="1" si="0"/>
        <v>67</v>
      </c>
      <c r="P4" s="1">
        <f t="shared" ca="1" si="0"/>
        <v>36</v>
      </c>
      <c r="Q4">
        <f t="shared" ca="1" si="0"/>
        <v>27</v>
      </c>
      <c r="R4">
        <f t="shared" ca="1" si="0"/>
        <v>50</v>
      </c>
      <c r="S4">
        <f t="shared" ca="1" si="0"/>
        <v>11</v>
      </c>
      <c r="T4">
        <v>3</v>
      </c>
      <c r="U4" t="s">
        <v>538</v>
      </c>
      <c r="W4">
        <v>3</v>
      </c>
      <c r="X4" t="s">
        <v>544</v>
      </c>
      <c r="Z4">
        <v>3</v>
      </c>
      <c r="AA4" s="9" t="s">
        <v>555</v>
      </c>
      <c r="AB4" s="9" t="s">
        <v>555</v>
      </c>
      <c r="AC4" s="9" t="s">
        <v>555</v>
      </c>
      <c r="AD4" s="9" t="s">
        <v>555</v>
      </c>
      <c r="AF4" s="9" t="s">
        <v>557</v>
      </c>
      <c r="AG4">
        <v>20</v>
      </c>
      <c r="AI4">
        <v>3</v>
      </c>
      <c r="AJ4" t="s">
        <v>562</v>
      </c>
    </row>
    <row r="5" spans="1:36" x14ac:dyDescent="0.3">
      <c r="A5" s="46">
        <v>4</v>
      </c>
      <c r="B5" s="30" t="str">
        <f t="shared" ca="1" si="1"/>
        <v>Human</v>
      </c>
      <c r="C5" s="30" t="str">
        <f t="shared" ca="1" si="2"/>
        <v>Banded</v>
      </c>
      <c r="D5" s="30" t="str" cm="1">
        <f t="array" aca="1" ref="D5" ca="1">_xlfn.IFS(C5="Leather", VLOOKUP(M5,$Z$2:$AD$101,2), C5 = "Scale", VLOOKUP(M5,$Z$2:$AD$101,2), C5 = "Banded", VLOOKUP(M5,$Z$2:$AD$101,2), C5 = "Chain", VLOOKUP(M5,$Z$2:$AD$101,3), C5 = "Plate", VLOOKUP(M5,$Z$2:$AD$101,4), C5 = "Suit", VLOOKUP(M5,$Z$2:$AD$101,4), C5 = "Shield", VLOOKUP(M5,$Z$2:$AD$101,5), C5 = "Scale &amp; Shield", VLOOKUP(M5,$Z$2:$AD$101,2), C5 = "Chain &amp; Shield", VLOOKUP(M5,$Z$2:$AD$101,3), C5 = "Banded &amp; Shield", VLOOKUP(M5,$Z$2:$AD$101,2), C5 = "Plate &amp; Shield", VLOOKUP(M5,$Z$2:$AD$101,4))</f>
        <v>+1</v>
      </c>
      <c r="E5" s="30" t="str">
        <f t="shared" ca="1" si="3"/>
        <v>Ethereality</v>
      </c>
      <c r="F5" s="30" t="str">
        <f t="shared" ca="1" si="4"/>
        <v>No</v>
      </c>
      <c r="G5" s="30" t="str" cm="1">
        <f t="array" aca="1" ref="G5" ca="1">IFERROR(_xlfn.IFS(F5="No","",R5&lt;=VLOOKUP(F5,$AF$2:$AG$6,2),VLOOKUP(S5,$AI$2:$AJ$101,2)), "")</f>
        <v/>
      </c>
      <c r="K5" s="1">
        <f t="shared" ca="1" si="5"/>
        <v>68</v>
      </c>
      <c r="L5" s="1">
        <f t="shared" ca="1" si="0"/>
        <v>33</v>
      </c>
      <c r="M5" s="1">
        <f t="shared" ca="1" si="0"/>
        <v>60</v>
      </c>
      <c r="N5" s="1">
        <f t="shared" ca="1" si="0"/>
        <v>63</v>
      </c>
      <c r="O5" s="1">
        <f t="shared" ca="1" si="0"/>
        <v>6</v>
      </c>
      <c r="P5" s="1">
        <f t="shared" ca="1" si="0"/>
        <v>50</v>
      </c>
      <c r="Q5">
        <f t="shared" ca="1" si="0"/>
        <v>52</v>
      </c>
      <c r="R5">
        <f t="shared" ca="1" si="0"/>
        <v>97</v>
      </c>
      <c r="S5">
        <f t="shared" ca="1" si="0"/>
        <v>23</v>
      </c>
      <c r="T5">
        <v>4</v>
      </c>
      <c r="U5" t="s">
        <v>538</v>
      </c>
      <c r="W5">
        <v>4</v>
      </c>
      <c r="X5" t="s">
        <v>544</v>
      </c>
      <c r="Z5">
        <v>4</v>
      </c>
      <c r="AA5" s="9" t="s">
        <v>555</v>
      </c>
      <c r="AB5" s="9" t="s">
        <v>555</v>
      </c>
      <c r="AC5" s="9" t="s">
        <v>555</v>
      </c>
      <c r="AD5" s="9" t="s">
        <v>555</v>
      </c>
      <c r="AF5" s="9" t="s">
        <v>558</v>
      </c>
      <c r="AG5">
        <v>25</v>
      </c>
      <c r="AI5">
        <v>4</v>
      </c>
      <c r="AJ5" t="s">
        <v>562</v>
      </c>
    </row>
    <row r="6" spans="1:36" x14ac:dyDescent="0.3">
      <c r="A6" s="7">
        <v>5</v>
      </c>
      <c r="B6" s="6" t="str">
        <f t="shared" ca="1" si="1"/>
        <v>Human</v>
      </c>
      <c r="C6" s="6" t="str">
        <f t="shared" ca="1" si="2"/>
        <v>Plate</v>
      </c>
      <c r="D6" s="6" t="str" cm="1">
        <f t="array" aca="1" ref="D6" ca="1">_xlfn.IFS(C6="Leather", VLOOKUP(M6,$Z$2:$AD$101,2), C6 = "Scale", VLOOKUP(M6,$Z$2:$AD$101,2), C6 = "Banded", VLOOKUP(M6,$Z$2:$AD$101,2), C6 = "Chain", VLOOKUP(M6,$Z$2:$AD$101,3), C6 = "Plate", VLOOKUP(M6,$Z$2:$AD$101,4), C6 = "Suit", VLOOKUP(M6,$Z$2:$AD$101,4), C6 = "Shield", VLOOKUP(M6,$Z$2:$AD$101,5), C6 = "Scale &amp; Shield", VLOOKUP(M6,$Z$2:$AD$101,2), C6 = "Chain &amp; Shield", VLOOKUP(M6,$Z$2:$AD$101,3), C6 = "Banded &amp; Shield", VLOOKUP(M6,$Z$2:$AD$101,2), C6 = "Plate &amp; Shield", VLOOKUP(M6,$Z$2:$AD$101,4))</f>
        <v>+1</v>
      </c>
      <c r="E6" s="6" t="str">
        <f t="shared" ca="1" si="3"/>
        <v>No</v>
      </c>
      <c r="F6" s="6" t="str">
        <f t="shared" ca="1" si="4"/>
        <v>No</v>
      </c>
      <c r="G6" s="6" t="str" cm="1">
        <f t="array" aca="1" ref="G6" ca="1">IFERROR(_xlfn.IFS(F6="No","",R6&lt;=VLOOKUP(F6,$AF$2:$AG$6,2),VLOOKUP(S6,$AI$2:$AJ$101,2)), "")</f>
        <v/>
      </c>
      <c r="K6" s="1">
        <f t="shared" ca="1" si="5"/>
        <v>22</v>
      </c>
      <c r="L6" s="1">
        <f t="shared" ca="1" si="0"/>
        <v>41</v>
      </c>
      <c r="M6" s="1">
        <f t="shared" ca="1" si="0"/>
        <v>3</v>
      </c>
      <c r="N6" s="1">
        <f t="shared" ca="1" si="0"/>
        <v>98</v>
      </c>
      <c r="O6" s="1">
        <f t="shared" ca="1" si="0"/>
        <v>78</v>
      </c>
      <c r="P6" s="1">
        <f t="shared" ca="1" si="0"/>
        <v>2</v>
      </c>
      <c r="Q6">
        <f t="shared" ca="1" si="0"/>
        <v>46</v>
      </c>
      <c r="R6">
        <f t="shared" ca="1" si="0"/>
        <v>65</v>
      </c>
      <c r="S6">
        <f t="shared" ca="1" si="0"/>
        <v>20</v>
      </c>
      <c r="T6">
        <v>5</v>
      </c>
      <c r="U6" t="s">
        <v>538</v>
      </c>
      <c r="W6">
        <v>5</v>
      </c>
      <c r="X6" t="s">
        <v>544</v>
      </c>
      <c r="Z6">
        <v>5</v>
      </c>
      <c r="AA6" s="9" t="s">
        <v>555</v>
      </c>
      <c r="AB6" s="9" t="s">
        <v>555</v>
      </c>
      <c r="AC6" s="9" t="s">
        <v>555</v>
      </c>
      <c r="AD6" s="9" t="s">
        <v>555</v>
      </c>
      <c r="AF6" s="9" t="s">
        <v>559</v>
      </c>
      <c r="AG6">
        <v>30</v>
      </c>
      <c r="AI6">
        <v>5</v>
      </c>
      <c r="AJ6" t="s">
        <v>562</v>
      </c>
    </row>
    <row r="7" spans="1:36" x14ac:dyDescent="0.3">
      <c r="A7" s="46">
        <v>6</v>
      </c>
      <c r="B7" s="30" t="str">
        <f t="shared" ca="1" si="1"/>
        <v>Halfling</v>
      </c>
      <c r="C7" s="30" t="str">
        <f t="shared" ca="1" si="2"/>
        <v>Leather</v>
      </c>
      <c r="D7" s="30" t="str" cm="1">
        <f t="array" aca="1" ref="D7" ca="1">_xlfn.IFS(C7="Leather", VLOOKUP(M7,$Z$2:$AD$101,2), C7 = "Scale", VLOOKUP(M7,$Z$2:$AD$101,2), C7 = "Banded", VLOOKUP(M7,$Z$2:$AD$101,2), C7 = "Chain", VLOOKUP(M7,$Z$2:$AD$101,3), C7 = "Plate", VLOOKUP(M7,$Z$2:$AD$101,4), C7 = "Suit", VLOOKUP(M7,$Z$2:$AD$101,4), C7 = "Shield", VLOOKUP(M7,$Z$2:$AD$101,5), C7 = "Scale &amp; Shield", VLOOKUP(M7,$Z$2:$AD$101,2), C7 = "Chain &amp; Shield", VLOOKUP(M7,$Z$2:$AD$101,3), C7 = "Banded &amp; Shield", VLOOKUP(M7,$Z$2:$AD$101,2), C7 = "Plate &amp; Shield", VLOOKUP(M7,$Z$2:$AD$101,4))</f>
        <v>+3</v>
      </c>
      <c r="E7" s="30" t="str">
        <f t="shared" ca="1" si="3"/>
        <v>No</v>
      </c>
      <c r="F7" s="30" t="str">
        <f t="shared" ca="1" si="4"/>
        <v>No</v>
      </c>
      <c r="G7" s="30" t="str" cm="1">
        <f t="array" aca="1" ref="G7" ca="1">IFERROR(_xlfn.IFS(F7="No","",R7&lt;=VLOOKUP(F7,$AF$2:$AG$6,2),VLOOKUP(S7,$AI$2:$AJ$101,2)), "")</f>
        <v/>
      </c>
      <c r="K7" s="1">
        <f t="shared" ca="1" si="5"/>
        <v>96</v>
      </c>
      <c r="L7" s="1">
        <f t="shared" ca="1" si="0"/>
        <v>2</v>
      </c>
      <c r="M7" s="1">
        <f t="shared" ca="1" si="0"/>
        <v>93</v>
      </c>
      <c r="N7" s="1">
        <f t="shared" ca="1" si="0"/>
        <v>3</v>
      </c>
      <c r="O7" s="1">
        <f t="shared" ca="1" si="0"/>
        <v>48</v>
      </c>
      <c r="P7" s="1">
        <f t="shared" ca="1" si="0"/>
        <v>49</v>
      </c>
      <c r="Q7">
        <f t="shared" ca="1" si="0"/>
        <v>99</v>
      </c>
      <c r="R7">
        <f t="shared" ca="1" si="0"/>
        <v>84</v>
      </c>
      <c r="S7">
        <f t="shared" ca="1" si="0"/>
        <v>76</v>
      </c>
      <c r="T7">
        <v>6</v>
      </c>
      <c r="U7" t="s">
        <v>538</v>
      </c>
      <c r="W7">
        <v>6</v>
      </c>
      <c r="X7" t="s">
        <v>544</v>
      </c>
      <c r="Z7">
        <v>6</v>
      </c>
      <c r="AA7" s="9" t="s">
        <v>555</v>
      </c>
      <c r="AB7" s="9" t="s">
        <v>555</v>
      </c>
      <c r="AC7" s="9" t="s">
        <v>555</v>
      </c>
      <c r="AD7" s="9" t="s">
        <v>555</v>
      </c>
      <c r="AI7">
        <v>6</v>
      </c>
      <c r="AJ7" t="s">
        <v>562</v>
      </c>
    </row>
    <row r="8" spans="1:36" x14ac:dyDescent="0.3">
      <c r="A8">
        <v>7</v>
      </c>
      <c r="B8" s="6" t="str">
        <f t="shared" ca="1" si="1"/>
        <v>Human</v>
      </c>
      <c r="C8" s="6" t="str">
        <f t="shared" ca="1" si="2"/>
        <v>Shield</v>
      </c>
      <c r="D8" s="6" t="str" cm="1">
        <f t="array" aca="1" ref="D8" ca="1">_xlfn.IFS(C8="Leather", VLOOKUP(M8,$Z$2:$AD$101,2), C8 = "Scale", VLOOKUP(M8,$Z$2:$AD$101,2), C8 = "Banded", VLOOKUP(M8,$Z$2:$AD$101,2), C8 = "Chain", VLOOKUP(M8,$Z$2:$AD$101,3), C8 = "Plate", VLOOKUP(M8,$Z$2:$AD$101,4), C8 = "Suit", VLOOKUP(M8,$Z$2:$AD$101,4), C8 = "Shield", VLOOKUP(M8,$Z$2:$AD$101,5), C8 = "Scale &amp; Shield", VLOOKUP(M8,$Z$2:$AD$101,2), C8 = "Chain &amp; Shield", VLOOKUP(M8,$Z$2:$AD$101,3), C8 = "Banded &amp; Shield", VLOOKUP(M8,$Z$2:$AD$101,2), C8 = "Plate &amp; Shield", VLOOKUP(M8,$Z$2:$AD$101,4))</f>
        <v>+2</v>
      </c>
      <c r="E8" s="6" t="str">
        <f t="shared" ca="1" si="3"/>
        <v>No</v>
      </c>
      <c r="F8" s="6" t="str">
        <f t="shared" ca="1" si="4"/>
        <v>No</v>
      </c>
      <c r="G8" s="6" t="str" cm="1">
        <f t="array" aca="1" ref="G8" ca="1">IFERROR(_xlfn.IFS(F8="No","",R8&lt;=VLOOKUP(F8,$AF$2:$AG$6,2),VLOOKUP(S8,$AI$2:$AJ$101,2)), "")</f>
        <v/>
      </c>
      <c r="K8" s="1">
        <f t="shared" ca="1" si="5"/>
        <v>32</v>
      </c>
      <c r="L8" s="1">
        <f t="shared" ca="1" si="0"/>
        <v>56</v>
      </c>
      <c r="M8" s="1">
        <f t="shared" ca="1" si="0"/>
        <v>52</v>
      </c>
      <c r="N8" s="1">
        <f t="shared" ca="1" si="0"/>
        <v>72</v>
      </c>
      <c r="O8" s="1">
        <f t="shared" ca="1" si="0"/>
        <v>22</v>
      </c>
      <c r="P8" s="1">
        <f t="shared" ca="1" si="0"/>
        <v>25</v>
      </c>
      <c r="Q8">
        <f t="shared" ca="1" si="0"/>
        <v>33</v>
      </c>
      <c r="R8">
        <f t="shared" ca="1" si="0"/>
        <v>76</v>
      </c>
      <c r="S8">
        <f t="shared" ca="1" si="0"/>
        <v>8</v>
      </c>
      <c r="T8">
        <v>7</v>
      </c>
      <c r="U8" t="s">
        <v>538</v>
      </c>
      <c r="W8">
        <v>7</v>
      </c>
      <c r="X8" t="s">
        <v>544</v>
      </c>
      <c r="Z8">
        <v>7</v>
      </c>
      <c r="AA8" s="9" t="s">
        <v>555</v>
      </c>
      <c r="AB8" s="9" t="s">
        <v>555</v>
      </c>
      <c r="AC8" s="9" t="s">
        <v>555</v>
      </c>
      <c r="AD8" s="9" t="s">
        <v>555</v>
      </c>
      <c r="AI8">
        <v>7</v>
      </c>
      <c r="AJ8" t="s">
        <v>562</v>
      </c>
    </row>
    <row r="9" spans="1:36" x14ac:dyDescent="0.3">
      <c r="A9" s="46">
        <v>8</v>
      </c>
      <c r="B9" s="30" t="str">
        <f t="shared" ca="1" si="1"/>
        <v>Human</v>
      </c>
      <c r="C9" s="30" t="str">
        <f t="shared" ca="1" si="2"/>
        <v>Leather</v>
      </c>
      <c r="D9" s="30" t="str" cm="1">
        <f t="array" aca="1" ref="D9" ca="1">_xlfn.IFS(C9="Leather", VLOOKUP(M9,$Z$2:$AD$101,2), C9 = "Scale", VLOOKUP(M9,$Z$2:$AD$101,2), C9 = "Banded", VLOOKUP(M9,$Z$2:$AD$101,2), C9 = "Chain", VLOOKUP(M9,$Z$2:$AD$101,3), C9 = "Plate", VLOOKUP(M9,$Z$2:$AD$101,4), C9 = "Suit", VLOOKUP(M9,$Z$2:$AD$101,4), C9 = "Shield", VLOOKUP(M9,$Z$2:$AD$101,5), C9 = "Scale &amp; Shield", VLOOKUP(M9,$Z$2:$AD$101,2), C9 = "Chain &amp; Shield", VLOOKUP(M9,$Z$2:$AD$101,3), C9 = "Banded &amp; Shield", VLOOKUP(M9,$Z$2:$AD$101,2), C9 = "Plate &amp; Shield", VLOOKUP(M9,$Z$2:$AD$101,4))</f>
        <v>+1</v>
      </c>
      <c r="E9" s="30" t="str">
        <f t="shared" ca="1" si="3"/>
        <v>No</v>
      </c>
      <c r="F9" s="30" t="str">
        <f t="shared" ca="1" si="4"/>
        <v>No</v>
      </c>
      <c r="G9" s="30" t="str" cm="1">
        <f t="array" aca="1" ref="G9" ca="1">IFERROR(_xlfn.IFS(F9="No","",R9&lt;=VLOOKUP(F9,$AF$2:$AG$6,2),VLOOKUP(S9,$AI$2:$AJ$101,2)), "")</f>
        <v/>
      </c>
      <c r="K9" s="1">
        <f t="shared" ca="1" si="5"/>
        <v>20</v>
      </c>
      <c r="L9" s="1">
        <f t="shared" ca="1" si="0"/>
        <v>3</v>
      </c>
      <c r="M9" s="1">
        <f t="shared" ca="1" si="0"/>
        <v>58</v>
      </c>
      <c r="N9" s="1">
        <f t="shared" ca="1" si="0"/>
        <v>100</v>
      </c>
      <c r="O9" s="1">
        <f t="shared" ca="1" si="0"/>
        <v>50</v>
      </c>
      <c r="P9" s="1">
        <f t="shared" ca="1" si="0"/>
        <v>76</v>
      </c>
      <c r="Q9">
        <f t="shared" ca="1" si="0"/>
        <v>12</v>
      </c>
      <c r="R9">
        <f t="shared" ca="1" si="0"/>
        <v>88</v>
      </c>
      <c r="S9">
        <f t="shared" ca="1" si="0"/>
        <v>76</v>
      </c>
      <c r="T9">
        <v>8</v>
      </c>
      <c r="U9" t="s">
        <v>538</v>
      </c>
      <c r="W9">
        <v>8</v>
      </c>
      <c r="X9" t="s">
        <v>544</v>
      </c>
      <c r="Z9">
        <v>8</v>
      </c>
      <c r="AA9" s="9" t="s">
        <v>555</v>
      </c>
      <c r="AB9" s="9" t="s">
        <v>555</v>
      </c>
      <c r="AC9" s="9" t="s">
        <v>555</v>
      </c>
      <c r="AD9" s="9" t="s">
        <v>555</v>
      </c>
      <c r="AI9">
        <v>8</v>
      </c>
      <c r="AJ9" t="s">
        <v>563</v>
      </c>
    </row>
    <row r="10" spans="1:36" x14ac:dyDescent="0.3">
      <c r="A10">
        <v>9</v>
      </c>
      <c r="B10" s="6" t="str">
        <f t="shared" ca="1" si="1"/>
        <v>Dwarf</v>
      </c>
      <c r="C10" s="6" t="str">
        <f t="shared" ca="1" si="2"/>
        <v>Chain</v>
      </c>
      <c r="D10" s="6" t="str" cm="1">
        <f t="array" aca="1" ref="D10" ca="1">_xlfn.IFS(C10="Leather", VLOOKUP(M10,$Z$2:$AD$101,2), C10 = "Scale", VLOOKUP(M10,$Z$2:$AD$101,2), C10 = "Banded", VLOOKUP(M10,$Z$2:$AD$101,2), C10 = "Chain", VLOOKUP(M10,$Z$2:$AD$101,3), C10 = "Plate", VLOOKUP(M10,$Z$2:$AD$101,4), C10 = "Suit", VLOOKUP(M10,$Z$2:$AD$101,4), C10 = "Shield", VLOOKUP(M10,$Z$2:$AD$101,5), C10 = "Scale &amp; Shield", VLOOKUP(M10,$Z$2:$AD$101,2), C10 = "Chain &amp; Shield", VLOOKUP(M10,$Z$2:$AD$101,3), C10 = "Banded &amp; Shield", VLOOKUP(M10,$Z$2:$AD$101,2), C10 = "Plate &amp; Shield", VLOOKUP(M10,$Z$2:$AD$101,4))</f>
        <v>+1</v>
      </c>
      <c r="E10" s="6" t="str">
        <f t="shared" ca="1" si="3"/>
        <v>No</v>
      </c>
      <c r="F10" s="6" t="str">
        <f t="shared" ca="1" si="4"/>
        <v>No</v>
      </c>
      <c r="G10" s="6" t="str" cm="1">
        <f t="array" aca="1" ref="G10" ca="1">IFERROR(_xlfn.IFS(F10="No","",R10&lt;=VLOOKUP(F10,$AF$2:$AG$6,2),VLOOKUP(S10,$AI$2:$AJ$101,2)), "")</f>
        <v/>
      </c>
      <c r="K10" s="1">
        <f t="shared" ca="1" si="5"/>
        <v>81</v>
      </c>
      <c r="L10" s="1">
        <f t="shared" ca="1" si="0"/>
        <v>24</v>
      </c>
      <c r="M10" s="1">
        <f t="shared" ca="1" si="0"/>
        <v>16</v>
      </c>
      <c r="N10" s="1">
        <f t="shared" ca="1" si="0"/>
        <v>49</v>
      </c>
      <c r="O10" s="1">
        <f t="shared" ca="1" si="0"/>
        <v>25</v>
      </c>
      <c r="P10" s="1">
        <f t="shared" ca="1" si="0"/>
        <v>9</v>
      </c>
      <c r="Q10">
        <f t="shared" ca="1" si="0"/>
        <v>47</v>
      </c>
      <c r="R10">
        <f t="shared" ca="1" si="0"/>
        <v>95</v>
      </c>
      <c r="S10">
        <f t="shared" ca="1" si="0"/>
        <v>20</v>
      </c>
      <c r="T10">
        <v>9</v>
      </c>
      <c r="U10" t="s">
        <v>538</v>
      </c>
      <c r="W10">
        <v>9</v>
      </c>
      <c r="X10" t="s">
        <v>544</v>
      </c>
      <c r="Z10">
        <v>9</v>
      </c>
      <c r="AA10" s="9" t="s">
        <v>555</v>
      </c>
      <c r="AB10" s="9" t="s">
        <v>555</v>
      </c>
      <c r="AC10" s="9" t="s">
        <v>555</v>
      </c>
      <c r="AD10" s="9" t="s">
        <v>555</v>
      </c>
      <c r="AI10">
        <v>9</v>
      </c>
      <c r="AJ10" t="s">
        <v>563</v>
      </c>
    </row>
    <row r="11" spans="1:36" x14ac:dyDescent="0.3">
      <c r="A11" s="46">
        <v>10</v>
      </c>
      <c r="B11" s="30" t="str">
        <f t="shared" ca="1" si="1"/>
        <v>Human</v>
      </c>
      <c r="C11" s="30" t="str">
        <f t="shared" ca="1" si="2"/>
        <v>Banded &amp; Shield</v>
      </c>
      <c r="D11" s="30" t="str" cm="1">
        <f t="array" aca="1" ref="D11" ca="1">_xlfn.IFS(C11="Leather", VLOOKUP(M11,$Z$2:$AD$101,2), C11 = "Scale", VLOOKUP(M11,$Z$2:$AD$101,2), C11 = "Banded", VLOOKUP(M11,$Z$2:$AD$101,2), C11 = "Chain", VLOOKUP(M11,$Z$2:$AD$101,3), C11 = "Plate", VLOOKUP(M11,$Z$2:$AD$101,4), C11 = "Suit", VLOOKUP(M11,$Z$2:$AD$101,4), C11 = "Shield", VLOOKUP(M11,$Z$2:$AD$101,5), C11 = "Scale &amp; Shield", VLOOKUP(M11,$Z$2:$AD$101,2), C11 = "Chain &amp; Shield", VLOOKUP(M11,$Z$2:$AD$101,3), C11 = "Banded &amp; Shield", VLOOKUP(M11,$Z$2:$AD$101,2), C11 = "Plate &amp; Shield", VLOOKUP(M11,$Z$2:$AD$101,4))</f>
        <v>+1</v>
      </c>
      <c r="E11" s="30" t="str">
        <f t="shared" ca="1" si="3"/>
        <v>Ethereality</v>
      </c>
      <c r="F11" s="30" t="str">
        <f t="shared" ca="1" si="4"/>
        <v>+2</v>
      </c>
      <c r="G11" s="30" t="str" cm="1">
        <f t="array" aca="1" ref="G11" ca="1">IFERROR(_xlfn.IFS(F11="No","",R11&lt;=VLOOKUP(F11,$AF$2:$AG$6,2),VLOOKUP(S11,$AI$2:$AJ$101,2)), "")</f>
        <v/>
      </c>
      <c r="K11" s="1">
        <f t="shared" ca="1" si="5"/>
        <v>35</v>
      </c>
      <c r="L11" s="1">
        <f t="shared" ca="1" si="0"/>
        <v>90</v>
      </c>
      <c r="M11" s="1">
        <f t="shared" ca="1" si="0"/>
        <v>40</v>
      </c>
      <c r="N11" s="1">
        <f t="shared" ca="1" si="0"/>
        <v>72</v>
      </c>
      <c r="O11" s="1">
        <f t="shared" ca="1" si="0"/>
        <v>5</v>
      </c>
      <c r="P11" s="1">
        <f t="shared" ca="1" si="0"/>
        <v>49</v>
      </c>
      <c r="Q11">
        <f t="shared" ca="1" si="0"/>
        <v>63</v>
      </c>
      <c r="R11">
        <f t="shared" ca="1" si="0"/>
        <v>64</v>
      </c>
      <c r="S11">
        <f t="shared" ca="1" si="0"/>
        <v>78</v>
      </c>
      <c r="T11">
        <v>10</v>
      </c>
      <c r="U11" t="s">
        <v>538</v>
      </c>
      <c r="W11">
        <v>10</v>
      </c>
      <c r="X11" t="s">
        <v>544</v>
      </c>
      <c r="Z11">
        <v>10</v>
      </c>
      <c r="AA11" s="9" t="s">
        <v>555</v>
      </c>
      <c r="AB11" s="9" t="s">
        <v>555</v>
      </c>
      <c r="AC11" s="9" t="s">
        <v>555</v>
      </c>
      <c r="AD11" s="9" t="s">
        <v>555</v>
      </c>
      <c r="AI11">
        <v>10</v>
      </c>
      <c r="AJ11" t="s">
        <v>563</v>
      </c>
    </row>
    <row r="12" spans="1:36" x14ac:dyDescent="0.3">
      <c r="A12" s="7">
        <v>11</v>
      </c>
      <c r="B12" s="6" t="str">
        <f t="shared" ca="1" si="1"/>
        <v>Human</v>
      </c>
      <c r="C12" s="6" t="str">
        <f t="shared" ca="1" si="2"/>
        <v>Scale</v>
      </c>
      <c r="D12" s="6" t="str" cm="1">
        <f t="array" aca="1" ref="D12" ca="1">_xlfn.IFS(C12="Leather", VLOOKUP(M12,$Z$2:$AD$101,2), C12 = "Scale", VLOOKUP(M12,$Z$2:$AD$101,2), C12 = "Banded", VLOOKUP(M12,$Z$2:$AD$101,2), C12 = "Chain", VLOOKUP(M12,$Z$2:$AD$101,3), C12 = "Plate", VLOOKUP(M12,$Z$2:$AD$101,4), C12 = "Suit", VLOOKUP(M12,$Z$2:$AD$101,4), C12 = "Shield", VLOOKUP(M12,$Z$2:$AD$101,5), C12 = "Scale &amp; Shield", VLOOKUP(M12,$Z$2:$AD$101,2), C12 = "Chain &amp; Shield", VLOOKUP(M12,$Z$2:$AD$101,3), C12 = "Banded &amp; Shield", VLOOKUP(M12,$Z$2:$AD$101,2), C12 = "Plate &amp; Shield", VLOOKUP(M12,$Z$2:$AD$101,4))</f>
        <v>+1</v>
      </c>
      <c r="E12" s="6" t="str">
        <f t="shared" ca="1" si="3"/>
        <v>No</v>
      </c>
      <c r="F12" s="6" t="str">
        <f t="shared" ca="1" si="4"/>
        <v>No</v>
      </c>
      <c r="G12" s="6" t="str" cm="1">
        <f t="array" aca="1" ref="G12" ca="1">IFERROR(_xlfn.IFS(F12="No","",R12&lt;=VLOOKUP(F12,$AF$2:$AG$6,2),VLOOKUP(S12,$AI$2:$AJ$101,2)), "")</f>
        <v/>
      </c>
      <c r="K12" s="1">
        <f t="shared" ca="1" si="5"/>
        <v>24</v>
      </c>
      <c r="L12" s="1">
        <f t="shared" ca="1" si="0"/>
        <v>12</v>
      </c>
      <c r="M12" s="1">
        <f t="shared" ca="1" si="0"/>
        <v>3</v>
      </c>
      <c r="N12" s="1">
        <f t="shared" ca="1" si="0"/>
        <v>44</v>
      </c>
      <c r="O12" s="1">
        <f t="shared" ca="1" si="0"/>
        <v>89</v>
      </c>
      <c r="P12" s="1">
        <f t="shared" ca="1" si="0"/>
        <v>63</v>
      </c>
      <c r="Q12">
        <f t="shared" ca="1" si="0"/>
        <v>62</v>
      </c>
      <c r="R12">
        <f t="shared" ca="1" si="0"/>
        <v>44</v>
      </c>
      <c r="S12">
        <f t="shared" ca="1" si="0"/>
        <v>18</v>
      </c>
      <c r="T12">
        <v>11</v>
      </c>
      <c r="U12" t="s">
        <v>538</v>
      </c>
      <c r="W12">
        <v>11</v>
      </c>
      <c r="X12" t="s">
        <v>545</v>
      </c>
      <c r="Z12">
        <v>11</v>
      </c>
      <c r="AA12" s="9" t="s">
        <v>555</v>
      </c>
      <c r="AB12" s="9" t="s">
        <v>555</v>
      </c>
      <c r="AC12" s="9" t="s">
        <v>555</v>
      </c>
      <c r="AD12" s="9" t="s">
        <v>555</v>
      </c>
      <c r="AI12">
        <v>11</v>
      </c>
      <c r="AJ12" t="s">
        <v>563</v>
      </c>
    </row>
    <row r="13" spans="1:36" x14ac:dyDescent="0.3">
      <c r="A13" s="46">
        <v>12</v>
      </c>
      <c r="B13" s="30" t="str">
        <f t="shared" ca="1" si="1"/>
        <v>Human</v>
      </c>
      <c r="C13" s="30" t="str">
        <f t="shared" ca="1" si="2"/>
        <v>Plate</v>
      </c>
      <c r="D13" s="30" t="str" cm="1">
        <f t="array" aca="1" ref="D13" ca="1">_xlfn.IFS(C13="Leather", VLOOKUP(M13,$Z$2:$AD$101,2), C13 = "Scale", VLOOKUP(M13,$Z$2:$AD$101,2), C13 = "Banded", VLOOKUP(M13,$Z$2:$AD$101,2), C13 = "Chain", VLOOKUP(M13,$Z$2:$AD$101,3), C13 = "Plate", VLOOKUP(M13,$Z$2:$AD$101,4), C13 = "Suit", VLOOKUP(M13,$Z$2:$AD$101,4), C13 = "Shield", VLOOKUP(M13,$Z$2:$AD$101,5), C13 = "Scale &amp; Shield", VLOOKUP(M13,$Z$2:$AD$101,2), C13 = "Chain &amp; Shield", VLOOKUP(M13,$Z$2:$AD$101,3), C13 = "Banded &amp; Shield", VLOOKUP(M13,$Z$2:$AD$101,2), C13 = "Plate &amp; Shield", VLOOKUP(M13,$Z$2:$AD$101,4))</f>
        <v>+1</v>
      </c>
      <c r="E13" s="30" t="str">
        <f t="shared" ca="1" si="3"/>
        <v>Invisibility</v>
      </c>
      <c r="F13" s="30" t="str">
        <f t="shared" ca="1" si="4"/>
        <v>No</v>
      </c>
      <c r="G13" s="30" t="str" cm="1">
        <f t="array" aca="1" ref="G13" ca="1">IFERROR(_xlfn.IFS(F13="No","",R13&lt;=VLOOKUP(F13,$AF$2:$AG$6,2),VLOOKUP(S13,$AI$2:$AJ$101,2)), "")</f>
        <v/>
      </c>
      <c r="K13" s="1">
        <f t="shared" ca="1" si="5"/>
        <v>50</v>
      </c>
      <c r="L13" s="1">
        <f t="shared" ca="1" si="0"/>
        <v>45</v>
      </c>
      <c r="M13" s="1">
        <f t="shared" ca="1" si="0"/>
        <v>49</v>
      </c>
      <c r="N13" s="1">
        <f t="shared" ca="1" si="0"/>
        <v>14</v>
      </c>
      <c r="O13" s="1">
        <f t="shared" ca="1" si="0"/>
        <v>4</v>
      </c>
      <c r="P13" s="1">
        <f t="shared" ca="1" si="0"/>
        <v>78</v>
      </c>
      <c r="Q13">
        <f t="shared" ca="1" si="0"/>
        <v>97</v>
      </c>
      <c r="R13">
        <f t="shared" ca="1" si="0"/>
        <v>80</v>
      </c>
      <c r="S13">
        <f t="shared" ca="1" si="0"/>
        <v>43</v>
      </c>
      <c r="T13">
        <v>12</v>
      </c>
      <c r="U13" t="s">
        <v>538</v>
      </c>
      <c r="W13">
        <v>12</v>
      </c>
      <c r="X13" t="s">
        <v>545</v>
      </c>
      <c r="Z13">
        <v>12</v>
      </c>
      <c r="AA13" s="9" t="s">
        <v>555</v>
      </c>
      <c r="AB13" s="9" t="s">
        <v>555</v>
      </c>
      <c r="AC13" s="9" t="s">
        <v>555</v>
      </c>
      <c r="AD13" s="9" t="s">
        <v>555</v>
      </c>
      <c r="AI13">
        <v>12</v>
      </c>
      <c r="AJ13" t="s">
        <v>563</v>
      </c>
    </row>
    <row r="14" spans="1:36" x14ac:dyDescent="0.3">
      <c r="A14">
        <v>13</v>
      </c>
      <c r="B14" s="6" t="str">
        <f t="shared" ca="1" si="1"/>
        <v>Halfling</v>
      </c>
      <c r="C14" s="6" t="str">
        <f t="shared" ca="1" si="2"/>
        <v>Shield</v>
      </c>
      <c r="D14" s="6" t="str" cm="1">
        <f t="array" aca="1" ref="D14" ca="1">_xlfn.IFS(C14="Leather", VLOOKUP(M14,$Z$2:$AD$101,2), C14 = "Scale", VLOOKUP(M14,$Z$2:$AD$101,2), C14 = "Banded", VLOOKUP(M14,$Z$2:$AD$101,2), C14 = "Chain", VLOOKUP(M14,$Z$2:$AD$101,3), C14 = "Plate", VLOOKUP(M14,$Z$2:$AD$101,4), C14 = "Suit", VLOOKUP(M14,$Z$2:$AD$101,4), C14 = "Shield", VLOOKUP(M14,$Z$2:$AD$101,5), C14 = "Scale &amp; Shield", VLOOKUP(M14,$Z$2:$AD$101,2), C14 = "Chain &amp; Shield", VLOOKUP(M14,$Z$2:$AD$101,3), C14 = "Banded &amp; Shield", VLOOKUP(M14,$Z$2:$AD$101,2), C14 = "Plate &amp; Shield", VLOOKUP(M14,$Z$2:$AD$101,4))</f>
        <v>+1</v>
      </c>
      <c r="E14" s="6" t="str">
        <f t="shared" ca="1" si="3"/>
        <v>No</v>
      </c>
      <c r="F14" s="6" t="str">
        <f t="shared" ca="1" si="4"/>
        <v>No</v>
      </c>
      <c r="G14" s="6" t="str" cm="1">
        <f t="array" aca="1" ref="G14" ca="1">IFERROR(_xlfn.IFS(F14="No","",R14&lt;=VLOOKUP(F14,$AF$2:$AG$6,2),VLOOKUP(S14,$AI$2:$AJ$101,2)), "")</f>
        <v/>
      </c>
      <c r="K14" s="1">
        <f t="shared" ca="1" si="5"/>
        <v>93</v>
      </c>
      <c r="L14" s="1">
        <f t="shared" ca="1" si="0"/>
        <v>70</v>
      </c>
      <c r="M14" s="1">
        <f t="shared" ca="1" si="0"/>
        <v>30</v>
      </c>
      <c r="N14" s="1">
        <f t="shared" ca="1" si="0"/>
        <v>74</v>
      </c>
      <c r="O14" s="1">
        <f t="shared" ca="1" si="0"/>
        <v>13</v>
      </c>
      <c r="P14" s="1">
        <f t="shared" ca="1" si="0"/>
        <v>29</v>
      </c>
      <c r="Q14">
        <f t="shared" ca="1" si="0"/>
        <v>82</v>
      </c>
      <c r="R14">
        <f t="shared" ca="1" si="0"/>
        <v>74</v>
      </c>
      <c r="S14">
        <f t="shared" ca="1" si="0"/>
        <v>47</v>
      </c>
      <c r="T14">
        <v>13</v>
      </c>
      <c r="U14" t="s">
        <v>538</v>
      </c>
      <c r="W14">
        <v>13</v>
      </c>
      <c r="X14" t="s">
        <v>545</v>
      </c>
      <c r="Z14">
        <v>13</v>
      </c>
      <c r="AA14" s="9" t="s">
        <v>555</v>
      </c>
      <c r="AB14" s="9" t="s">
        <v>555</v>
      </c>
      <c r="AC14" s="9" t="s">
        <v>555</v>
      </c>
      <c r="AD14" s="9" t="s">
        <v>555</v>
      </c>
      <c r="AI14">
        <v>13</v>
      </c>
      <c r="AJ14" t="s">
        <v>563</v>
      </c>
    </row>
    <row r="15" spans="1:36" x14ac:dyDescent="0.3">
      <c r="A15" s="48">
        <v>14</v>
      </c>
      <c r="B15" s="30" t="str">
        <f t="shared" ca="1" si="1"/>
        <v>Elf</v>
      </c>
      <c r="C15" s="30" t="str">
        <f t="shared" ca="1" si="2"/>
        <v>Shield</v>
      </c>
      <c r="D15" s="30" t="str" cm="1">
        <f t="array" aca="1" ref="D15" ca="1">_xlfn.IFS(C15="Leather", VLOOKUP(M15,$Z$2:$AD$101,2), C15 = "Scale", VLOOKUP(M15,$Z$2:$AD$101,2), C15 = "Banded", VLOOKUP(M15,$Z$2:$AD$101,2), C15 = "Chain", VLOOKUP(M15,$Z$2:$AD$101,3), C15 = "Plate", VLOOKUP(M15,$Z$2:$AD$101,4), C15 = "Suit", VLOOKUP(M15,$Z$2:$AD$101,4), C15 = "Shield", VLOOKUP(M15,$Z$2:$AD$101,5), C15 = "Scale &amp; Shield", VLOOKUP(M15,$Z$2:$AD$101,2), C15 = "Chain &amp; Shield", VLOOKUP(M15,$Z$2:$AD$101,3), C15 = "Banded &amp; Shield", VLOOKUP(M15,$Z$2:$AD$101,2), C15 = "Plate &amp; Shield", VLOOKUP(M15,$Z$2:$AD$101,4))</f>
        <v>+2</v>
      </c>
      <c r="E15" s="30" t="str">
        <f t="shared" ca="1" si="3"/>
        <v>No</v>
      </c>
      <c r="F15" s="30" t="str">
        <f t="shared" ca="1" si="4"/>
        <v>No</v>
      </c>
      <c r="G15" s="30" t="str" cm="1">
        <f t="array" aca="1" ref="G15" ca="1">IFERROR(_xlfn.IFS(F15="No","",R15&lt;=VLOOKUP(F15,$AF$2:$AG$6,2),VLOOKUP(S15,$AI$2:$AJ$101,2)), "")</f>
        <v/>
      </c>
      <c r="K15" s="1">
        <f t="shared" ca="1" si="5"/>
        <v>89</v>
      </c>
      <c r="L15" s="1">
        <f t="shared" ca="1" si="0"/>
        <v>61</v>
      </c>
      <c r="M15" s="1">
        <f t="shared" ca="1" si="0"/>
        <v>54</v>
      </c>
      <c r="N15" s="1">
        <f t="shared" ca="1" si="0"/>
        <v>34</v>
      </c>
      <c r="O15" s="1">
        <f t="shared" ca="1" si="0"/>
        <v>95</v>
      </c>
      <c r="P15" s="1">
        <f t="shared" ca="1" si="0"/>
        <v>25</v>
      </c>
      <c r="Q15">
        <f t="shared" ca="1" si="0"/>
        <v>20</v>
      </c>
      <c r="R15">
        <f t="shared" ca="1" si="0"/>
        <v>73</v>
      </c>
      <c r="S15">
        <f t="shared" ca="1" si="0"/>
        <v>25</v>
      </c>
      <c r="T15">
        <v>14</v>
      </c>
      <c r="U15" t="s">
        <v>538</v>
      </c>
      <c r="W15">
        <v>14</v>
      </c>
      <c r="X15" t="s">
        <v>545</v>
      </c>
      <c r="Z15">
        <v>14</v>
      </c>
      <c r="AA15" s="9" t="s">
        <v>555</v>
      </c>
      <c r="AB15" s="9" t="s">
        <v>555</v>
      </c>
      <c r="AC15" s="9" t="s">
        <v>555</v>
      </c>
      <c r="AD15" s="9" t="s">
        <v>555</v>
      </c>
      <c r="AI15">
        <v>14</v>
      </c>
      <c r="AJ15" t="s">
        <v>563</v>
      </c>
    </row>
    <row r="16" spans="1:36" x14ac:dyDescent="0.3">
      <c r="A16">
        <v>15</v>
      </c>
      <c r="B16" s="6" t="str">
        <f t="shared" ca="1" si="1"/>
        <v>Human</v>
      </c>
      <c r="C16" s="6" t="str">
        <f t="shared" ca="1" si="2"/>
        <v>Shield</v>
      </c>
      <c r="D16" s="6" t="str" cm="1">
        <f t="array" aca="1" ref="D16" ca="1">_xlfn.IFS(C16="Leather", VLOOKUP(M16,$Z$2:$AD$101,2), C16 = "Scale", VLOOKUP(M16,$Z$2:$AD$101,2), C16 = "Banded", VLOOKUP(M16,$Z$2:$AD$101,2), C16 = "Chain", VLOOKUP(M16,$Z$2:$AD$101,3), C16 = "Plate", VLOOKUP(M16,$Z$2:$AD$101,4), C16 = "Suit", VLOOKUP(M16,$Z$2:$AD$101,4), C16 = "Shield", VLOOKUP(M16,$Z$2:$AD$101,5), C16 = "Scale &amp; Shield", VLOOKUP(M16,$Z$2:$AD$101,2), C16 = "Chain &amp; Shield", VLOOKUP(M16,$Z$2:$AD$101,3), C16 = "Banded &amp; Shield", VLOOKUP(M16,$Z$2:$AD$101,2), C16 = "Plate &amp; Shield", VLOOKUP(M16,$Z$2:$AD$101,4))</f>
        <v>+3</v>
      </c>
      <c r="E16" s="6" t="str">
        <f t="shared" ca="1" si="3"/>
        <v>No</v>
      </c>
      <c r="F16" s="6" t="str">
        <f t="shared" ca="1" si="4"/>
        <v>No</v>
      </c>
      <c r="G16" s="6" t="str" cm="1">
        <f t="array" aca="1" ref="G16" ca="1">IFERROR(_xlfn.IFS(F16="No","",R16&lt;=VLOOKUP(F16,$AF$2:$AG$6,2),VLOOKUP(S16,$AI$2:$AJ$101,2)), "")</f>
        <v/>
      </c>
      <c r="K16" s="1">
        <f t="shared" ca="1" si="5"/>
        <v>1</v>
      </c>
      <c r="L16" s="1">
        <f t="shared" ca="1" si="0"/>
        <v>60</v>
      </c>
      <c r="M16" s="1">
        <f t="shared" ca="1" si="0"/>
        <v>76</v>
      </c>
      <c r="N16" s="1">
        <f t="shared" ca="1" si="0"/>
        <v>86</v>
      </c>
      <c r="O16" s="1">
        <f t="shared" ca="1" si="0"/>
        <v>92</v>
      </c>
      <c r="P16" s="1">
        <f t="shared" ca="1" si="0"/>
        <v>26</v>
      </c>
      <c r="Q16">
        <f t="shared" ca="1" si="0"/>
        <v>38</v>
      </c>
      <c r="R16">
        <f t="shared" ca="1" si="0"/>
        <v>68</v>
      </c>
      <c r="S16">
        <f t="shared" ca="1" si="0"/>
        <v>85</v>
      </c>
      <c r="T16">
        <v>15</v>
      </c>
      <c r="U16" t="s">
        <v>538</v>
      </c>
      <c r="W16">
        <v>15</v>
      </c>
      <c r="X16" t="s">
        <v>545</v>
      </c>
      <c r="Z16">
        <v>15</v>
      </c>
      <c r="AA16" s="9" t="s">
        <v>555</v>
      </c>
      <c r="AB16" s="9" t="s">
        <v>555</v>
      </c>
      <c r="AC16" s="9" t="s">
        <v>555</v>
      </c>
      <c r="AD16" s="9" t="s">
        <v>555</v>
      </c>
      <c r="AI16">
        <v>15</v>
      </c>
      <c r="AJ16" t="s">
        <v>563</v>
      </c>
    </row>
    <row r="17" spans="1:36" x14ac:dyDescent="0.3">
      <c r="A17" s="46">
        <v>16</v>
      </c>
      <c r="B17" s="30" t="str">
        <f t="shared" ca="1" si="1"/>
        <v>Human</v>
      </c>
      <c r="C17" s="30" t="str">
        <f t="shared" ca="1" si="2"/>
        <v>Shield</v>
      </c>
      <c r="D17" s="30" t="str" cm="1">
        <f t="array" aca="1" ref="D17" ca="1">_xlfn.IFS(C17="Leather", VLOOKUP(M17,$Z$2:$AD$101,2), C17 = "Scale", VLOOKUP(M17,$Z$2:$AD$101,2), C17 = "Banded", VLOOKUP(M17,$Z$2:$AD$101,2), C17 = "Chain", VLOOKUP(M17,$Z$2:$AD$101,3), C17 = "Plate", VLOOKUP(M17,$Z$2:$AD$101,4), C17 = "Suit", VLOOKUP(M17,$Z$2:$AD$101,4), C17 = "Shield", VLOOKUP(M17,$Z$2:$AD$101,5), C17 = "Scale &amp; Shield", VLOOKUP(M17,$Z$2:$AD$101,2), C17 = "Chain &amp; Shield", VLOOKUP(M17,$Z$2:$AD$101,3), C17 = "Banded &amp; Shield", VLOOKUP(M17,$Z$2:$AD$101,2), C17 = "Plate &amp; Shield", VLOOKUP(M17,$Z$2:$AD$101,4))</f>
        <v>+1</v>
      </c>
      <c r="E17" s="30" t="str">
        <f t="shared" ca="1" si="3"/>
        <v>Cure Wounds</v>
      </c>
      <c r="F17" s="30" t="str">
        <f t="shared" ca="1" si="4"/>
        <v>No</v>
      </c>
      <c r="G17" s="30" t="str" cm="1">
        <f t="array" aca="1" ref="G17" ca="1">IFERROR(_xlfn.IFS(F17="No","",R17&lt;=VLOOKUP(F17,$AF$2:$AG$6,2),VLOOKUP(S17,$AI$2:$AJ$101,2)), "")</f>
        <v/>
      </c>
      <c r="K17" s="1">
        <f t="shared" ca="1" si="5"/>
        <v>37</v>
      </c>
      <c r="L17" s="1">
        <f t="shared" ca="1" si="0"/>
        <v>69</v>
      </c>
      <c r="M17" s="1">
        <f t="shared" ca="1" si="0"/>
        <v>10</v>
      </c>
      <c r="N17" s="1">
        <f t="shared" ca="1" si="0"/>
        <v>72</v>
      </c>
      <c r="O17" s="1">
        <f t="shared" ca="1" si="0"/>
        <v>1</v>
      </c>
      <c r="P17" s="1">
        <f t="shared" ca="1" si="0"/>
        <v>29</v>
      </c>
      <c r="Q17">
        <f t="shared" ca="1" si="0"/>
        <v>96</v>
      </c>
      <c r="R17">
        <f t="shared" ca="1" si="0"/>
        <v>15</v>
      </c>
      <c r="S17">
        <f t="shared" ca="1" si="0"/>
        <v>27</v>
      </c>
      <c r="T17">
        <v>16</v>
      </c>
      <c r="U17" t="s">
        <v>538</v>
      </c>
      <c r="W17">
        <v>16</v>
      </c>
      <c r="X17" t="s">
        <v>545</v>
      </c>
      <c r="Z17">
        <v>16</v>
      </c>
      <c r="AA17" s="9" t="s">
        <v>555</v>
      </c>
      <c r="AB17" s="9" t="s">
        <v>555</v>
      </c>
      <c r="AC17" s="9" t="s">
        <v>555</v>
      </c>
      <c r="AD17" s="9" t="s">
        <v>555</v>
      </c>
      <c r="AI17">
        <v>16</v>
      </c>
      <c r="AJ17" t="s">
        <v>563</v>
      </c>
    </row>
    <row r="18" spans="1:36" x14ac:dyDescent="0.3">
      <c r="A18" s="7">
        <v>17</v>
      </c>
      <c r="B18" s="6" t="str">
        <f t="shared" ca="1" si="1"/>
        <v>Human</v>
      </c>
      <c r="C18" s="6" t="str">
        <f t="shared" ca="1" si="2"/>
        <v>Plate</v>
      </c>
      <c r="D18" s="6" t="str" cm="1">
        <f t="array" aca="1" ref="D18" ca="1">_xlfn.IFS(C18="Leather", VLOOKUP(M18,$Z$2:$AD$101,2), C18 = "Scale", VLOOKUP(M18,$Z$2:$AD$101,2), C18 = "Banded", VLOOKUP(M18,$Z$2:$AD$101,2), C18 = "Chain", VLOOKUP(M18,$Z$2:$AD$101,3), C18 = "Plate", VLOOKUP(M18,$Z$2:$AD$101,4), C18 = "Suit", VLOOKUP(M18,$Z$2:$AD$101,4), C18 = "Shield", VLOOKUP(M18,$Z$2:$AD$101,5), C18 = "Scale &amp; Shield", VLOOKUP(M18,$Z$2:$AD$101,2), C18 = "Chain &amp; Shield", VLOOKUP(M18,$Z$2:$AD$101,3), C18 = "Banded &amp; Shield", VLOOKUP(M18,$Z$2:$AD$101,2), C18 = "Plate &amp; Shield", VLOOKUP(M18,$Z$2:$AD$101,4))</f>
        <v>+1</v>
      </c>
      <c r="E18" s="6" t="str">
        <f t="shared" ca="1" si="3"/>
        <v>No</v>
      </c>
      <c r="F18" s="6" t="str">
        <f t="shared" ca="1" si="4"/>
        <v>No</v>
      </c>
      <c r="G18" s="6" t="str" cm="1">
        <f t="array" aca="1" ref="G18" ca="1">IFERROR(_xlfn.IFS(F18="No","",R18&lt;=VLOOKUP(F18,$AF$2:$AG$6,2),VLOOKUP(S18,$AI$2:$AJ$101,2)), "")</f>
        <v/>
      </c>
      <c r="K18" s="1">
        <f t="shared" ca="1" si="5"/>
        <v>57</v>
      </c>
      <c r="L18" s="1">
        <f t="shared" ca="1" si="5"/>
        <v>49</v>
      </c>
      <c r="M18" s="1">
        <f t="shared" ca="1" si="5"/>
        <v>10</v>
      </c>
      <c r="N18" s="1">
        <f t="shared" ca="1" si="5"/>
        <v>13</v>
      </c>
      <c r="O18" s="1">
        <f t="shared" ca="1" si="5"/>
        <v>12</v>
      </c>
      <c r="P18" s="1">
        <f t="shared" ca="1" si="5"/>
        <v>9</v>
      </c>
      <c r="Q18">
        <f t="shared" ca="1" si="5"/>
        <v>34</v>
      </c>
      <c r="R18">
        <f t="shared" ca="1" si="5"/>
        <v>44</v>
      </c>
      <c r="S18">
        <f t="shared" ca="1" si="5"/>
        <v>96</v>
      </c>
      <c r="T18">
        <v>17</v>
      </c>
      <c r="U18" t="s">
        <v>538</v>
      </c>
      <c r="W18">
        <v>17</v>
      </c>
      <c r="X18" t="s">
        <v>545</v>
      </c>
      <c r="Z18">
        <v>17</v>
      </c>
      <c r="AA18" s="9" t="s">
        <v>555</v>
      </c>
      <c r="AB18" s="9" t="s">
        <v>555</v>
      </c>
      <c r="AC18" s="9" t="s">
        <v>555</v>
      </c>
      <c r="AD18" s="9" t="s">
        <v>555</v>
      </c>
      <c r="AI18">
        <v>17</v>
      </c>
      <c r="AJ18" t="s">
        <v>563</v>
      </c>
    </row>
    <row r="19" spans="1:36" x14ac:dyDescent="0.3">
      <c r="A19" s="46">
        <v>18</v>
      </c>
      <c r="B19" s="30" t="str">
        <f t="shared" ca="1" si="1"/>
        <v>Human</v>
      </c>
      <c r="C19" s="30" t="str">
        <f t="shared" ca="1" si="2"/>
        <v>Leather</v>
      </c>
      <c r="D19" s="30" t="str" cm="1">
        <f t="array" aca="1" ref="D19" ca="1">_xlfn.IFS(C19="Leather", VLOOKUP(M19,$Z$2:$AD$101,2), C19 = "Scale", VLOOKUP(M19,$Z$2:$AD$101,2), C19 = "Banded", VLOOKUP(M19,$Z$2:$AD$101,2), C19 = "Chain", VLOOKUP(M19,$Z$2:$AD$101,3), C19 = "Plate", VLOOKUP(M19,$Z$2:$AD$101,4), C19 = "Suit", VLOOKUP(M19,$Z$2:$AD$101,4), C19 = "Shield", VLOOKUP(M19,$Z$2:$AD$101,5), C19 = "Scale &amp; Shield", VLOOKUP(M19,$Z$2:$AD$101,2), C19 = "Chain &amp; Shield", VLOOKUP(M19,$Z$2:$AD$101,3), C19 = "Banded &amp; Shield", VLOOKUP(M19,$Z$2:$AD$101,2), C19 = "Plate &amp; Shield", VLOOKUP(M19,$Z$2:$AD$101,4))</f>
        <v>+2</v>
      </c>
      <c r="E19" s="30" t="str">
        <f t="shared" ca="1" si="3"/>
        <v>No</v>
      </c>
      <c r="F19" s="30" t="str">
        <f t="shared" ca="1" si="4"/>
        <v>No</v>
      </c>
      <c r="G19" s="30" t="str" cm="1">
        <f t="array" aca="1" ref="G19" ca="1">IFERROR(_xlfn.IFS(F19="No","",R19&lt;=VLOOKUP(F19,$AF$2:$AG$6,2),VLOOKUP(S19,$AI$2:$AJ$101,2)), "")</f>
        <v/>
      </c>
      <c r="K19" s="1">
        <f t="shared" ca="1" si="5"/>
        <v>18</v>
      </c>
      <c r="L19" s="1">
        <f t="shared" ca="1" si="5"/>
        <v>8</v>
      </c>
      <c r="M19" s="1">
        <f t="shared" ca="1" si="5"/>
        <v>80</v>
      </c>
      <c r="N19" s="1">
        <f t="shared" ca="1" si="5"/>
        <v>17</v>
      </c>
      <c r="O19" s="1">
        <f t="shared" ca="1" si="5"/>
        <v>92</v>
      </c>
      <c r="P19" s="1">
        <f t="shared" ca="1" si="5"/>
        <v>64</v>
      </c>
      <c r="Q19">
        <f t="shared" ca="1" si="5"/>
        <v>70</v>
      </c>
      <c r="R19">
        <f t="shared" ca="1" si="5"/>
        <v>70</v>
      </c>
      <c r="S19">
        <f t="shared" ca="1" si="5"/>
        <v>59</v>
      </c>
      <c r="T19">
        <v>18</v>
      </c>
      <c r="U19" t="s">
        <v>538</v>
      </c>
      <c r="W19">
        <v>18</v>
      </c>
      <c r="X19" t="s">
        <v>59</v>
      </c>
      <c r="Z19">
        <v>18</v>
      </c>
      <c r="AA19" s="9" t="s">
        <v>555</v>
      </c>
      <c r="AB19" s="9" t="s">
        <v>555</v>
      </c>
      <c r="AC19" s="9" t="s">
        <v>555</v>
      </c>
      <c r="AD19" s="9" t="s">
        <v>555</v>
      </c>
      <c r="AI19">
        <v>18</v>
      </c>
      <c r="AJ19" t="s">
        <v>564</v>
      </c>
    </row>
    <row r="20" spans="1:36" x14ac:dyDescent="0.3">
      <c r="A20">
        <v>19</v>
      </c>
      <c r="B20" s="6" t="str">
        <f t="shared" ca="1" si="1"/>
        <v>Human</v>
      </c>
      <c r="C20" s="6" t="str">
        <f t="shared" ca="1" si="2"/>
        <v>Banded</v>
      </c>
      <c r="D20" s="6" t="str" cm="1">
        <f t="array" aca="1" ref="D20" ca="1">_xlfn.IFS(C20="Leather", VLOOKUP(M20,$Z$2:$AD$101,2), C20 = "Scale", VLOOKUP(M20,$Z$2:$AD$101,2), C20 = "Banded", VLOOKUP(M20,$Z$2:$AD$101,2), C20 = "Chain", VLOOKUP(M20,$Z$2:$AD$101,3), C20 = "Plate", VLOOKUP(M20,$Z$2:$AD$101,4), C20 = "Suit", VLOOKUP(M20,$Z$2:$AD$101,4), C20 = "Shield", VLOOKUP(M20,$Z$2:$AD$101,5), C20 = "Scale &amp; Shield", VLOOKUP(M20,$Z$2:$AD$101,2), C20 = "Chain &amp; Shield", VLOOKUP(M20,$Z$2:$AD$101,3), C20 = "Banded &amp; Shield", VLOOKUP(M20,$Z$2:$AD$101,2), C20 = "Plate &amp; Shield", VLOOKUP(M20,$Z$2:$AD$101,4))</f>
        <v>+4</v>
      </c>
      <c r="E20" s="6" t="str">
        <f t="shared" ca="1" si="3"/>
        <v>Reflection</v>
      </c>
      <c r="F20" s="6" t="str">
        <f t="shared" ca="1" si="4"/>
        <v>No</v>
      </c>
      <c r="G20" s="6" t="str" cm="1">
        <f t="array" aca="1" ref="G20" ca="1">IFERROR(_xlfn.IFS(F20="No","",R20&lt;=VLOOKUP(F20,$AF$2:$AG$6,2),VLOOKUP(S20,$AI$2:$AJ$101,2)), "")</f>
        <v/>
      </c>
      <c r="K20" s="1">
        <f t="shared" ca="1" si="5"/>
        <v>61</v>
      </c>
      <c r="L20" s="1">
        <f t="shared" ca="1" si="5"/>
        <v>35</v>
      </c>
      <c r="M20" s="1">
        <f t="shared" ca="1" si="5"/>
        <v>99</v>
      </c>
      <c r="N20" s="1">
        <f t="shared" ca="1" si="5"/>
        <v>65</v>
      </c>
      <c r="O20" s="1">
        <f t="shared" ca="1" si="5"/>
        <v>2</v>
      </c>
      <c r="P20" s="1">
        <f t="shared" ca="1" si="5"/>
        <v>93</v>
      </c>
      <c r="Q20">
        <f t="shared" ca="1" si="5"/>
        <v>34</v>
      </c>
      <c r="R20">
        <f t="shared" ca="1" si="5"/>
        <v>6</v>
      </c>
      <c r="S20">
        <f t="shared" ca="1" si="5"/>
        <v>55</v>
      </c>
      <c r="T20">
        <v>19</v>
      </c>
      <c r="U20" t="s">
        <v>538</v>
      </c>
      <c r="W20">
        <v>19</v>
      </c>
      <c r="X20" t="s">
        <v>59</v>
      </c>
      <c r="Z20">
        <v>19</v>
      </c>
      <c r="AA20" s="9" t="s">
        <v>555</v>
      </c>
      <c r="AB20" s="9" t="s">
        <v>555</v>
      </c>
      <c r="AC20" s="9" t="s">
        <v>555</v>
      </c>
      <c r="AD20" s="9" t="s">
        <v>555</v>
      </c>
      <c r="AI20">
        <v>19</v>
      </c>
      <c r="AJ20" t="s">
        <v>564</v>
      </c>
    </row>
    <row r="21" spans="1:36" x14ac:dyDescent="0.3">
      <c r="A21" s="48">
        <v>20</v>
      </c>
      <c r="B21" s="30" t="str">
        <f t="shared" ref="B21" ca="1" si="6">VLOOKUP(K21,$T$2:$U$101,2)</f>
        <v>Human</v>
      </c>
      <c r="C21" s="30" t="str">
        <f t="shared" ref="C21" ca="1" si="7">VLOOKUP(L21,$W$2:$X$101,2)</f>
        <v>Suit</v>
      </c>
      <c r="D21" s="30" t="str" cm="1">
        <f t="array" aca="1" ref="D21" ca="1">_xlfn.IFS(C21="Leather", VLOOKUP(M21,$Z$2:$AD$101,2), C21 = "Scale", VLOOKUP(M21,$Z$2:$AD$101,2), C21 = "Banded", VLOOKUP(M21,$Z$2:$AD$101,2), C21 = "Chain", VLOOKUP(M21,$Z$2:$AD$101,3), C21 = "Plate", VLOOKUP(M21,$Z$2:$AD$101,4), C21 = "Suit", VLOOKUP(M21,$Z$2:$AD$101,4), C21 = "Shield", VLOOKUP(M21,$Z$2:$AD$101,5), C21 = "Scale &amp; Shield", VLOOKUP(M21,$Z$2:$AD$101,2), C21 = "Chain &amp; Shield", VLOOKUP(M21,$Z$2:$AD$101,3), C21 = "Banded &amp; Shield", VLOOKUP(M21,$Z$2:$AD$101,2), C21 = "Plate &amp; Shield", VLOOKUP(M21,$Z$2:$AD$101,4))</f>
        <v>+1</v>
      </c>
      <c r="E21" s="30" t="str">
        <f t="shared" ref="E21" ca="1" si="8">IF(O21 &lt;= VLOOKUP(D21,$AF$2:$AG$6,2), VLOOKUP(P21,$AI$2:$AJ$101,2), "No")</f>
        <v>Energy Drain</v>
      </c>
      <c r="F21" s="30" t="str">
        <f t="shared" ca="1" si="4"/>
        <v>No</v>
      </c>
      <c r="G21" s="30" t="str" cm="1">
        <f t="array" aca="1" ref="G21" ca="1">IFERROR(_xlfn.IFS(F21="No","",R21&lt;=VLOOKUP(F21,$AF$2:$AG$6,2),VLOOKUP(S21,$AI$2:$AJ$101,2)), "")</f>
        <v/>
      </c>
      <c r="K21" s="1">
        <f t="shared" ca="1" si="5"/>
        <v>5</v>
      </c>
      <c r="L21" s="1">
        <f t="shared" ca="1" si="5"/>
        <v>54</v>
      </c>
      <c r="M21" s="1">
        <f t="shared" ca="1" si="5"/>
        <v>17</v>
      </c>
      <c r="N21" s="1">
        <f t="shared" ca="1" si="5"/>
        <v>1</v>
      </c>
      <c r="O21" s="1">
        <f t="shared" ca="1" si="5"/>
        <v>2</v>
      </c>
      <c r="P21" s="1">
        <f t="shared" ca="1" si="5"/>
        <v>47</v>
      </c>
      <c r="Q21">
        <f t="shared" ca="1" si="5"/>
        <v>5</v>
      </c>
      <c r="R21">
        <f t="shared" ca="1" si="5"/>
        <v>9</v>
      </c>
      <c r="S21">
        <f t="shared" ca="1" si="5"/>
        <v>50</v>
      </c>
      <c r="T21">
        <v>20</v>
      </c>
      <c r="U21" t="s">
        <v>538</v>
      </c>
      <c r="W21">
        <v>20</v>
      </c>
      <c r="X21" t="s">
        <v>59</v>
      </c>
      <c r="Z21">
        <v>20</v>
      </c>
      <c r="AA21" s="9" t="s">
        <v>555</v>
      </c>
      <c r="AB21" s="9" t="s">
        <v>555</v>
      </c>
      <c r="AC21" s="9" t="s">
        <v>555</v>
      </c>
      <c r="AD21" s="9" t="s">
        <v>555</v>
      </c>
      <c r="AI21">
        <v>20</v>
      </c>
      <c r="AJ21" t="s">
        <v>564</v>
      </c>
    </row>
    <row r="22" spans="1:36" x14ac:dyDescent="0.3">
      <c r="A22" s="1"/>
      <c r="B22" s="1"/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T22">
        <v>21</v>
      </c>
      <c r="U22" t="s">
        <v>538</v>
      </c>
      <c r="W22">
        <v>21</v>
      </c>
      <c r="X22" t="s">
        <v>59</v>
      </c>
      <c r="Z22">
        <v>21</v>
      </c>
      <c r="AA22" s="9" t="s">
        <v>555</v>
      </c>
      <c r="AB22" s="9" t="s">
        <v>555</v>
      </c>
      <c r="AC22" s="9" t="s">
        <v>555</v>
      </c>
      <c r="AD22" s="9" t="s">
        <v>555</v>
      </c>
      <c r="AI22">
        <v>21</v>
      </c>
      <c r="AJ22" t="s">
        <v>564</v>
      </c>
    </row>
    <row r="23" spans="1:36" x14ac:dyDescent="0.3">
      <c r="A23" s="1"/>
      <c r="B23" s="1"/>
      <c r="C23" s="1"/>
      <c r="D23" s="1"/>
      <c r="E23" s="1"/>
      <c r="F23" s="1"/>
      <c r="G23" s="1"/>
      <c r="K23" s="1"/>
      <c r="L23" s="1"/>
      <c r="M23" s="1"/>
      <c r="N23" s="1"/>
      <c r="O23" s="1"/>
      <c r="P23" s="1"/>
      <c r="T23">
        <v>22</v>
      </c>
      <c r="U23" t="s">
        <v>538</v>
      </c>
      <c r="W23">
        <v>22</v>
      </c>
      <c r="X23" t="s">
        <v>59</v>
      </c>
      <c r="Z23">
        <v>22</v>
      </c>
      <c r="AA23" s="9" t="s">
        <v>555</v>
      </c>
      <c r="AB23" s="9" t="s">
        <v>555</v>
      </c>
      <c r="AC23" s="9" t="s">
        <v>555</v>
      </c>
      <c r="AD23" s="9" t="s">
        <v>555</v>
      </c>
      <c r="AI23">
        <v>22</v>
      </c>
      <c r="AJ23" t="s">
        <v>564</v>
      </c>
    </row>
    <row r="24" spans="1:36" x14ac:dyDescent="0.3">
      <c r="A24" s="1"/>
      <c r="B24" s="1"/>
      <c r="C24" s="1"/>
      <c r="D24" s="1"/>
      <c r="E24" s="1"/>
      <c r="F24" s="1"/>
      <c r="G24" s="1"/>
      <c r="K24" s="1"/>
      <c r="L24" s="1"/>
      <c r="M24" s="1"/>
      <c r="N24" s="1"/>
      <c r="O24" s="1"/>
      <c r="P24" s="1"/>
      <c r="T24">
        <v>23</v>
      </c>
      <c r="U24" t="s">
        <v>538</v>
      </c>
      <c r="W24">
        <v>23</v>
      </c>
      <c r="X24" t="s">
        <v>59</v>
      </c>
      <c r="Z24">
        <v>23</v>
      </c>
      <c r="AA24" s="9" t="s">
        <v>555</v>
      </c>
      <c r="AB24" s="9" t="s">
        <v>555</v>
      </c>
      <c r="AC24" s="9" t="s">
        <v>555</v>
      </c>
      <c r="AD24" s="9" t="s">
        <v>555</v>
      </c>
      <c r="AI24">
        <v>23</v>
      </c>
      <c r="AJ24" t="s">
        <v>564</v>
      </c>
    </row>
    <row r="25" spans="1:36" x14ac:dyDescent="0.3">
      <c r="A25" s="1"/>
      <c r="B25" s="47"/>
      <c r="C25" s="1"/>
      <c r="D25" s="1"/>
      <c r="E25" s="1"/>
      <c r="F25" s="1"/>
      <c r="G25" s="1"/>
      <c r="K25" s="1"/>
      <c r="L25" s="1"/>
      <c r="M25" s="1"/>
      <c r="N25" s="1"/>
      <c r="O25" s="1"/>
      <c r="P25" s="1"/>
      <c r="T25">
        <v>24</v>
      </c>
      <c r="U25" t="s">
        <v>538</v>
      </c>
      <c r="W25">
        <v>24</v>
      </c>
      <c r="X25" t="s">
        <v>59</v>
      </c>
      <c r="Z25">
        <v>24</v>
      </c>
      <c r="AA25" s="9" t="s">
        <v>555</v>
      </c>
      <c r="AB25" s="9" t="s">
        <v>555</v>
      </c>
      <c r="AC25" s="9" t="s">
        <v>555</v>
      </c>
      <c r="AD25" s="9" t="s">
        <v>555</v>
      </c>
      <c r="AI25">
        <v>24</v>
      </c>
      <c r="AJ25" t="s">
        <v>564</v>
      </c>
    </row>
    <row r="26" spans="1:36" x14ac:dyDescent="0.3">
      <c r="A26" s="1"/>
      <c r="B26" s="1"/>
      <c r="C26" s="1"/>
      <c r="D26" s="1"/>
      <c r="E26" s="1"/>
      <c r="F26" s="1"/>
      <c r="G26" s="1"/>
      <c r="K26" s="1"/>
      <c r="L26" s="1"/>
      <c r="M26" s="1"/>
      <c r="N26" s="1"/>
      <c r="O26" s="1"/>
      <c r="P26" s="1"/>
      <c r="T26">
        <v>25</v>
      </c>
      <c r="U26" t="s">
        <v>538</v>
      </c>
      <c r="W26">
        <v>25</v>
      </c>
      <c r="X26" t="s">
        <v>59</v>
      </c>
      <c r="Z26">
        <v>25</v>
      </c>
      <c r="AA26" s="9" t="s">
        <v>555</v>
      </c>
      <c r="AB26" s="9" t="s">
        <v>555</v>
      </c>
      <c r="AC26" s="9" t="s">
        <v>555</v>
      </c>
      <c r="AD26" s="9" t="s">
        <v>555</v>
      </c>
      <c r="AI26">
        <v>25</v>
      </c>
      <c r="AJ26" t="s">
        <v>564</v>
      </c>
    </row>
    <row r="27" spans="1:36" x14ac:dyDescent="0.3">
      <c r="A27" s="1"/>
      <c r="B27" s="1"/>
      <c r="C27" s="1"/>
      <c r="D27" s="1"/>
      <c r="E27" s="1"/>
      <c r="F27" s="1"/>
      <c r="G27" s="1"/>
      <c r="K27" s="1"/>
      <c r="L27" s="1"/>
      <c r="M27" s="1"/>
      <c r="N27" s="1"/>
      <c r="O27" s="1"/>
      <c r="P27" s="1"/>
      <c r="T27">
        <v>26</v>
      </c>
      <c r="U27" t="s">
        <v>538</v>
      </c>
      <c r="W27">
        <v>26</v>
      </c>
      <c r="X27" t="s">
        <v>59</v>
      </c>
      <c r="Z27">
        <v>26</v>
      </c>
      <c r="AA27" s="9" t="s">
        <v>555</v>
      </c>
      <c r="AB27" s="9" t="s">
        <v>555</v>
      </c>
      <c r="AC27" s="9" t="s">
        <v>555</v>
      </c>
      <c r="AD27" s="9" t="s">
        <v>555</v>
      </c>
      <c r="AI27">
        <v>26</v>
      </c>
      <c r="AJ27" t="s">
        <v>564</v>
      </c>
    </row>
    <row r="28" spans="1:36" x14ac:dyDescent="0.3">
      <c r="A28" s="1"/>
      <c r="B28" s="1"/>
      <c r="C28" s="1"/>
      <c r="D28" s="1"/>
      <c r="E28" s="1"/>
      <c r="F28" s="1"/>
      <c r="G28" s="1"/>
      <c r="K28" s="1"/>
      <c r="L28" s="1"/>
      <c r="M28" s="1"/>
      <c r="N28" s="1"/>
      <c r="O28" s="1"/>
      <c r="P28" s="1"/>
      <c r="T28">
        <v>27</v>
      </c>
      <c r="U28" t="s">
        <v>538</v>
      </c>
      <c r="W28">
        <v>27</v>
      </c>
      <c r="X28" t="s">
        <v>59</v>
      </c>
      <c r="Z28">
        <v>27</v>
      </c>
      <c r="AA28" s="9" t="s">
        <v>555</v>
      </c>
      <c r="AB28" s="9" t="s">
        <v>555</v>
      </c>
      <c r="AC28" s="9" t="s">
        <v>555</v>
      </c>
      <c r="AD28" s="9" t="s">
        <v>555</v>
      </c>
      <c r="AI28">
        <v>27</v>
      </c>
      <c r="AJ28" t="s">
        <v>564</v>
      </c>
    </row>
    <row r="29" spans="1:36" x14ac:dyDescent="0.3">
      <c r="A29" s="1"/>
      <c r="B29" s="1"/>
      <c r="C29" s="1"/>
      <c r="D29" s="1"/>
      <c r="E29" s="1"/>
      <c r="F29" s="1"/>
      <c r="G29" s="1"/>
      <c r="K29" s="1"/>
      <c r="L29" s="1"/>
      <c r="M29" s="1"/>
      <c r="N29" s="1"/>
      <c r="O29" s="1"/>
      <c r="P29" s="1"/>
      <c r="T29">
        <v>28</v>
      </c>
      <c r="U29" t="s">
        <v>538</v>
      </c>
      <c r="W29">
        <v>28</v>
      </c>
      <c r="X29" t="s">
        <v>59</v>
      </c>
      <c r="Z29">
        <v>28</v>
      </c>
      <c r="AA29" s="9" t="s">
        <v>555</v>
      </c>
      <c r="AB29" s="9" t="s">
        <v>555</v>
      </c>
      <c r="AC29" s="9" t="s">
        <v>555</v>
      </c>
      <c r="AD29" s="9" t="s">
        <v>555</v>
      </c>
      <c r="AI29">
        <v>28</v>
      </c>
      <c r="AJ29" t="s">
        <v>564</v>
      </c>
    </row>
    <row r="30" spans="1:36" x14ac:dyDescent="0.3">
      <c r="A30" s="1"/>
      <c r="B30" s="1"/>
      <c r="C30" s="1"/>
      <c r="D30" s="1"/>
      <c r="E30" s="1"/>
      <c r="F30" s="1"/>
      <c r="G30" s="1"/>
      <c r="K30" s="1"/>
      <c r="L30" s="1"/>
      <c r="M30" s="1"/>
      <c r="N30" s="1"/>
      <c r="O30" s="1"/>
      <c r="P30" s="1"/>
      <c r="T30">
        <v>29</v>
      </c>
      <c r="U30" t="s">
        <v>538</v>
      </c>
      <c r="W30">
        <v>29</v>
      </c>
      <c r="X30" t="s">
        <v>59</v>
      </c>
      <c r="Z30">
        <v>29</v>
      </c>
      <c r="AA30" s="9" t="s">
        <v>555</v>
      </c>
      <c r="AB30" s="9" t="s">
        <v>555</v>
      </c>
      <c r="AC30" s="9" t="s">
        <v>555</v>
      </c>
      <c r="AD30" s="9" t="s">
        <v>555</v>
      </c>
      <c r="AI30">
        <v>29</v>
      </c>
      <c r="AJ30" t="s">
        <v>564</v>
      </c>
    </row>
    <row r="31" spans="1:36" x14ac:dyDescent="0.3">
      <c r="A31" s="1"/>
      <c r="B31" s="1"/>
      <c r="C31" s="1"/>
      <c r="D31" s="1"/>
      <c r="E31" s="1"/>
      <c r="F31" s="1"/>
      <c r="G31" s="1"/>
      <c r="K31" s="1"/>
      <c r="L31" s="1"/>
      <c r="M31" s="1"/>
      <c r="N31" s="1"/>
      <c r="O31" s="1"/>
      <c r="P31" s="1"/>
      <c r="T31">
        <v>30</v>
      </c>
      <c r="U31" t="s">
        <v>538</v>
      </c>
      <c r="W31">
        <v>30</v>
      </c>
      <c r="X31" t="s">
        <v>59</v>
      </c>
      <c r="Z31">
        <v>30</v>
      </c>
      <c r="AA31" s="9" t="s">
        <v>555</v>
      </c>
      <c r="AB31" s="9" t="s">
        <v>555</v>
      </c>
      <c r="AC31" s="9" t="s">
        <v>555</v>
      </c>
      <c r="AD31" s="9" t="s">
        <v>555</v>
      </c>
      <c r="AI31">
        <v>30</v>
      </c>
      <c r="AJ31" t="s">
        <v>564</v>
      </c>
    </row>
    <row r="32" spans="1:36" x14ac:dyDescent="0.3">
      <c r="A32" s="1"/>
      <c r="B32" s="1"/>
      <c r="C32" s="1"/>
      <c r="D32" s="1"/>
      <c r="E32" s="1"/>
      <c r="F32" s="1"/>
      <c r="G32" s="1"/>
      <c r="K32" s="1"/>
      <c r="L32" s="1"/>
      <c r="M32" s="1"/>
      <c r="N32" s="1"/>
      <c r="O32" s="1"/>
      <c r="P32" s="1"/>
      <c r="T32">
        <v>31</v>
      </c>
      <c r="U32" t="s">
        <v>538</v>
      </c>
      <c r="W32">
        <v>31</v>
      </c>
      <c r="X32" t="s">
        <v>546</v>
      </c>
      <c r="Z32">
        <v>31</v>
      </c>
      <c r="AA32" s="9" t="s">
        <v>555</v>
      </c>
      <c r="AB32" s="9" t="s">
        <v>555</v>
      </c>
      <c r="AC32" s="9" t="s">
        <v>555</v>
      </c>
      <c r="AD32" s="9" t="s">
        <v>555</v>
      </c>
      <c r="AI32">
        <v>31</v>
      </c>
      <c r="AJ32" t="s">
        <v>564</v>
      </c>
    </row>
    <row r="33" spans="1:36" x14ac:dyDescent="0.3">
      <c r="A33" s="1"/>
      <c r="B33" s="1"/>
      <c r="C33" s="1"/>
      <c r="D33" s="1"/>
      <c r="E33" s="1"/>
      <c r="F33" s="1"/>
      <c r="G33" s="1"/>
      <c r="K33" s="1"/>
      <c r="L33" s="1"/>
      <c r="M33" s="1"/>
      <c r="N33" s="1"/>
      <c r="O33" s="1"/>
      <c r="P33" s="1"/>
      <c r="T33">
        <v>32</v>
      </c>
      <c r="U33" t="s">
        <v>538</v>
      </c>
      <c r="W33">
        <v>32</v>
      </c>
      <c r="X33" t="s">
        <v>546</v>
      </c>
      <c r="Z33">
        <v>32</v>
      </c>
      <c r="AA33" s="9" t="s">
        <v>555</v>
      </c>
      <c r="AB33" s="9" t="s">
        <v>555</v>
      </c>
      <c r="AC33" s="9" t="s">
        <v>555</v>
      </c>
      <c r="AD33" s="9" t="s">
        <v>555</v>
      </c>
      <c r="AI33">
        <v>32</v>
      </c>
      <c r="AJ33" t="s">
        <v>564</v>
      </c>
    </row>
    <row r="34" spans="1:36" x14ac:dyDescent="0.3">
      <c r="A34" s="1"/>
      <c r="B34" s="1"/>
      <c r="C34" s="1"/>
      <c r="D34" s="1"/>
      <c r="E34" s="1"/>
      <c r="F34" s="1"/>
      <c r="G34" s="1"/>
      <c r="K34" s="1"/>
      <c r="L34" s="1"/>
      <c r="M34" s="1"/>
      <c r="N34" s="1"/>
      <c r="O34" s="1"/>
      <c r="P34" s="1"/>
      <c r="T34">
        <v>33</v>
      </c>
      <c r="U34" t="s">
        <v>538</v>
      </c>
      <c r="W34">
        <v>33</v>
      </c>
      <c r="X34" t="s">
        <v>546</v>
      </c>
      <c r="Z34">
        <v>33</v>
      </c>
      <c r="AA34" s="9" t="s">
        <v>555</v>
      </c>
      <c r="AB34" s="9" t="s">
        <v>555</v>
      </c>
      <c r="AC34" s="9" t="s">
        <v>555</v>
      </c>
      <c r="AD34" s="9" t="s">
        <v>555</v>
      </c>
      <c r="AI34">
        <v>33</v>
      </c>
      <c r="AJ34" t="s">
        <v>565</v>
      </c>
    </row>
    <row r="35" spans="1:36" x14ac:dyDescent="0.3">
      <c r="A35" s="1"/>
      <c r="B35" s="1"/>
      <c r="C35" s="1"/>
      <c r="D35" s="1"/>
      <c r="E35" s="1"/>
      <c r="F35" s="1"/>
      <c r="G35" s="1"/>
      <c r="K35" s="1"/>
      <c r="L35" s="1"/>
      <c r="M35" s="1"/>
      <c r="N35" s="1"/>
      <c r="O35" s="1"/>
      <c r="P35" s="1"/>
      <c r="T35">
        <v>34</v>
      </c>
      <c r="U35" t="s">
        <v>538</v>
      </c>
      <c r="W35">
        <v>34</v>
      </c>
      <c r="X35" t="s">
        <v>546</v>
      </c>
      <c r="Z35">
        <v>34</v>
      </c>
      <c r="AA35" s="9" t="s">
        <v>555</v>
      </c>
      <c r="AB35" s="9" t="s">
        <v>555</v>
      </c>
      <c r="AC35" s="9" t="s">
        <v>555</v>
      </c>
      <c r="AD35" s="9" t="s">
        <v>555</v>
      </c>
      <c r="AI35">
        <v>34</v>
      </c>
      <c r="AJ35" t="s">
        <v>565</v>
      </c>
    </row>
    <row r="36" spans="1:36" x14ac:dyDescent="0.3">
      <c r="A36" s="1"/>
      <c r="B36" s="1"/>
      <c r="C36" s="1"/>
      <c r="D36" s="1"/>
      <c r="E36" s="1"/>
      <c r="F36" s="1"/>
      <c r="G36" s="1"/>
      <c r="K36" s="1"/>
      <c r="L36" s="1"/>
      <c r="M36" s="1"/>
      <c r="N36" s="1"/>
      <c r="O36" s="1"/>
      <c r="P36" s="1"/>
      <c r="T36">
        <v>35</v>
      </c>
      <c r="U36" t="s">
        <v>538</v>
      </c>
      <c r="W36">
        <v>35</v>
      </c>
      <c r="X36" t="s">
        <v>546</v>
      </c>
      <c r="Z36">
        <v>35</v>
      </c>
      <c r="AA36" s="9" t="s">
        <v>555</v>
      </c>
      <c r="AB36" s="9" t="s">
        <v>555</v>
      </c>
      <c r="AC36" s="9" t="s">
        <v>555</v>
      </c>
      <c r="AD36" s="9" t="s">
        <v>555</v>
      </c>
      <c r="AI36">
        <v>35</v>
      </c>
      <c r="AJ36" t="s">
        <v>565</v>
      </c>
    </row>
    <row r="37" spans="1:36" x14ac:dyDescent="0.3">
      <c r="A37" s="1"/>
      <c r="B37" s="1"/>
      <c r="C37" s="1"/>
      <c r="D37" s="1"/>
      <c r="E37" s="1"/>
      <c r="F37" s="1"/>
      <c r="G37" s="1"/>
      <c r="K37" s="1"/>
      <c r="L37" s="1"/>
      <c r="M37" s="1"/>
      <c r="N37" s="1"/>
      <c r="O37" s="1"/>
      <c r="P37" s="1"/>
      <c r="T37">
        <v>36</v>
      </c>
      <c r="U37" t="s">
        <v>538</v>
      </c>
      <c r="W37">
        <v>36</v>
      </c>
      <c r="X37" t="s">
        <v>546</v>
      </c>
      <c r="Z37">
        <v>36</v>
      </c>
      <c r="AA37" s="9" t="s">
        <v>555</v>
      </c>
      <c r="AB37" s="9" t="s">
        <v>555</v>
      </c>
      <c r="AC37" s="9" t="s">
        <v>555</v>
      </c>
      <c r="AD37" s="9" t="s">
        <v>555</v>
      </c>
      <c r="AI37">
        <v>36</v>
      </c>
      <c r="AJ37" t="s">
        <v>565</v>
      </c>
    </row>
    <row r="38" spans="1:36" x14ac:dyDescent="0.3">
      <c r="A38" s="1"/>
      <c r="B38" s="1"/>
      <c r="C38" s="1"/>
      <c r="D38" s="1"/>
      <c r="E38" s="1"/>
      <c r="F38" s="1"/>
      <c r="G38" s="1"/>
      <c r="K38" s="1"/>
      <c r="L38" s="1"/>
      <c r="M38" s="1"/>
      <c r="N38" s="1"/>
      <c r="O38" s="1"/>
      <c r="P38" s="1"/>
      <c r="T38">
        <v>37</v>
      </c>
      <c r="U38" t="s">
        <v>538</v>
      </c>
      <c r="W38">
        <v>37</v>
      </c>
      <c r="X38" t="s">
        <v>546</v>
      </c>
      <c r="Z38">
        <v>37</v>
      </c>
      <c r="AA38" s="9" t="s">
        <v>555</v>
      </c>
      <c r="AB38" s="9" t="s">
        <v>555</v>
      </c>
      <c r="AC38" s="9" t="s">
        <v>555</v>
      </c>
      <c r="AD38" s="9" t="s">
        <v>555</v>
      </c>
      <c r="AI38">
        <v>37</v>
      </c>
      <c r="AJ38" t="s">
        <v>565</v>
      </c>
    </row>
    <row r="39" spans="1:36" x14ac:dyDescent="0.3">
      <c r="A39" s="1"/>
      <c r="B39" s="1"/>
      <c r="C39" s="1"/>
      <c r="D39" s="1"/>
      <c r="E39" s="1"/>
      <c r="F39" s="1"/>
      <c r="G39" s="1"/>
      <c r="K39" s="1"/>
      <c r="L39" s="1"/>
      <c r="M39" s="1"/>
      <c r="N39" s="1"/>
      <c r="O39" s="1"/>
      <c r="P39" s="1"/>
      <c r="T39">
        <v>38</v>
      </c>
      <c r="U39" t="s">
        <v>538</v>
      </c>
      <c r="W39">
        <v>38</v>
      </c>
      <c r="X39" t="s">
        <v>546</v>
      </c>
      <c r="Z39">
        <v>38</v>
      </c>
      <c r="AA39" s="9" t="s">
        <v>555</v>
      </c>
      <c r="AB39" s="9" t="s">
        <v>555</v>
      </c>
      <c r="AC39" s="9" t="s">
        <v>555</v>
      </c>
      <c r="AD39" s="9" t="s">
        <v>555</v>
      </c>
      <c r="AI39">
        <v>38</v>
      </c>
      <c r="AJ39" t="s">
        <v>565</v>
      </c>
    </row>
    <row r="40" spans="1:36" x14ac:dyDescent="0.3">
      <c r="A40" s="1"/>
      <c r="B40" s="1"/>
      <c r="C40" s="1"/>
      <c r="D40" s="1"/>
      <c r="E40" s="1"/>
      <c r="F40" s="1"/>
      <c r="G40" s="1"/>
      <c r="K40" s="1"/>
      <c r="L40" s="1"/>
      <c r="M40" s="1"/>
      <c r="N40" s="1"/>
      <c r="O40" s="1"/>
      <c r="P40" s="1"/>
      <c r="T40">
        <v>39</v>
      </c>
      <c r="U40" t="s">
        <v>538</v>
      </c>
      <c r="W40">
        <v>39</v>
      </c>
      <c r="X40" t="s">
        <v>546</v>
      </c>
      <c r="Z40">
        <v>39</v>
      </c>
      <c r="AA40" s="9" t="s">
        <v>555</v>
      </c>
      <c r="AB40" s="9" t="s">
        <v>555</v>
      </c>
      <c r="AC40" s="9" t="s">
        <v>555</v>
      </c>
      <c r="AD40" s="9" t="s">
        <v>555</v>
      </c>
      <c r="AI40">
        <v>39</v>
      </c>
      <c r="AJ40" t="s">
        <v>565</v>
      </c>
    </row>
    <row r="41" spans="1:36" x14ac:dyDescent="0.3">
      <c r="A41" s="1"/>
      <c r="B41" s="1"/>
      <c r="C41" s="1"/>
      <c r="D41" s="1"/>
      <c r="E41" s="1"/>
      <c r="F41" s="1"/>
      <c r="G41" s="1"/>
      <c r="K41" s="1"/>
      <c r="L41" s="1"/>
      <c r="M41" s="1"/>
      <c r="N41" s="1"/>
      <c r="O41" s="1"/>
      <c r="P41" s="1"/>
      <c r="T41">
        <v>40</v>
      </c>
      <c r="U41" t="s">
        <v>538</v>
      </c>
      <c r="W41">
        <v>40</v>
      </c>
      <c r="X41" t="s">
        <v>547</v>
      </c>
      <c r="Z41">
        <v>40</v>
      </c>
      <c r="AA41" s="9" t="s">
        <v>555</v>
      </c>
      <c r="AB41" s="9" t="s">
        <v>555</v>
      </c>
      <c r="AC41" s="9" t="s">
        <v>555</v>
      </c>
      <c r="AD41" s="9" t="s">
        <v>555</v>
      </c>
      <c r="AI41">
        <v>40</v>
      </c>
      <c r="AJ41" t="s">
        <v>565</v>
      </c>
    </row>
    <row r="42" spans="1:36" x14ac:dyDescent="0.3">
      <c r="A42" s="1"/>
      <c r="B42" s="1"/>
      <c r="C42" s="1"/>
      <c r="D42" s="1"/>
      <c r="E42" s="1"/>
      <c r="F42" s="1"/>
      <c r="G42" s="1"/>
      <c r="K42" s="1"/>
      <c r="L42" s="1"/>
      <c r="M42" s="1"/>
      <c r="N42" s="1"/>
      <c r="O42" s="1"/>
      <c r="P42" s="1"/>
      <c r="T42">
        <v>41</v>
      </c>
      <c r="U42" t="s">
        <v>538</v>
      </c>
      <c r="W42">
        <v>41</v>
      </c>
      <c r="X42" t="s">
        <v>547</v>
      </c>
      <c r="Z42">
        <v>41</v>
      </c>
      <c r="AA42" s="9" t="s">
        <v>555</v>
      </c>
      <c r="AB42" s="9" t="s">
        <v>555</v>
      </c>
      <c r="AC42" s="9" t="s">
        <v>555</v>
      </c>
      <c r="AD42" s="9" t="s">
        <v>556</v>
      </c>
      <c r="AI42">
        <v>41</v>
      </c>
      <c r="AJ42" t="s">
        <v>565</v>
      </c>
    </row>
    <row r="43" spans="1:36" x14ac:dyDescent="0.3">
      <c r="A43" s="1"/>
      <c r="B43" s="1"/>
      <c r="C43" s="1"/>
      <c r="D43" s="1"/>
      <c r="E43" s="1"/>
      <c r="F43" s="1"/>
      <c r="G43" s="1"/>
      <c r="K43" s="1"/>
      <c r="L43" s="1"/>
      <c r="M43" s="1"/>
      <c r="N43" s="1"/>
      <c r="O43" s="1"/>
      <c r="P43" s="1"/>
      <c r="T43">
        <v>42</v>
      </c>
      <c r="U43" t="s">
        <v>538</v>
      </c>
      <c r="W43">
        <v>42</v>
      </c>
      <c r="X43" t="s">
        <v>547</v>
      </c>
      <c r="Z43">
        <v>42</v>
      </c>
      <c r="AA43" s="9" t="s">
        <v>555</v>
      </c>
      <c r="AB43" s="9" t="s">
        <v>555</v>
      </c>
      <c r="AC43" s="9" t="s">
        <v>555</v>
      </c>
      <c r="AD43" s="9" t="s">
        <v>556</v>
      </c>
      <c r="AI43">
        <v>42</v>
      </c>
      <c r="AJ43" t="s">
        <v>565</v>
      </c>
    </row>
    <row r="44" spans="1:36" x14ac:dyDescent="0.3">
      <c r="A44" s="1"/>
      <c r="B44" s="1"/>
      <c r="C44" s="1"/>
      <c r="D44" s="1"/>
      <c r="E44" s="1"/>
      <c r="F44" s="1"/>
      <c r="G44" s="1"/>
      <c r="K44" s="1"/>
      <c r="L44" s="1"/>
      <c r="M44" s="1"/>
      <c r="N44" s="1"/>
      <c r="O44" s="1"/>
      <c r="P44" s="1"/>
      <c r="T44">
        <v>43</v>
      </c>
      <c r="U44" t="s">
        <v>538</v>
      </c>
      <c r="W44">
        <v>43</v>
      </c>
      <c r="X44" t="s">
        <v>547</v>
      </c>
      <c r="Z44">
        <v>43</v>
      </c>
      <c r="AA44" s="9" t="s">
        <v>555</v>
      </c>
      <c r="AB44" s="9" t="s">
        <v>555</v>
      </c>
      <c r="AC44" s="9" t="s">
        <v>555</v>
      </c>
      <c r="AD44" s="9" t="s">
        <v>556</v>
      </c>
      <c r="AI44">
        <v>43</v>
      </c>
      <c r="AJ44" t="s">
        <v>566</v>
      </c>
    </row>
    <row r="45" spans="1:36" x14ac:dyDescent="0.3">
      <c r="A45" s="1"/>
      <c r="B45" s="1"/>
      <c r="C45" s="1"/>
      <c r="D45" s="1"/>
      <c r="E45" s="1"/>
      <c r="F45" s="1"/>
      <c r="G45" s="1"/>
      <c r="K45" s="1"/>
      <c r="L45" s="1"/>
      <c r="M45" s="1"/>
      <c r="N45" s="1"/>
      <c r="O45" s="1"/>
      <c r="P45" s="1"/>
      <c r="T45">
        <v>44</v>
      </c>
      <c r="U45" t="s">
        <v>538</v>
      </c>
      <c r="W45">
        <v>44</v>
      </c>
      <c r="X45" t="s">
        <v>547</v>
      </c>
      <c r="Z45">
        <v>44</v>
      </c>
      <c r="AA45" s="9" t="s">
        <v>555</v>
      </c>
      <c r="AB45" s="9" t="s">
        <v>555</v>
      </c>
      <c r="AC45" s="9" t="s">
        <v>555</v>
      </c>
      <c r="AD45" s="9" t="s">
        <v>556</v>
      </c>
      <c r="AI45">
        <v>44</v>
      </c>
      <c r="AJ45" t="s">
        <v>566</v>
      </c>
    </row>
    <row r="46" spans="1:36" x14ac:dyDescent="0.3">
      <c r="A46" s="1"/>
      <c r="B46" s="1"/>
      <c r="C46" s="1"/>
      <c r="D46" s="1"/>
      <c r="E46" s="1"/>
      <c r="F46" s="1"/>
      <c r="G46" s="1"/>
      <c r="K46" s="1"/>
      <c r="L46" s="1"/>
      <c r="M46" s="1"/>
      <c r="N46" s="1"/>
      <c r="O46" s="1"/>
      <c r="P46" s="1"/>
      <c r="T46">
        <v>45</v>
      </c>
      <c r="U46" t="s">
        <v>538</v>
      </c>
      <c r="W46">
        <v>45</v>
      </c>
      <c r="X46" t="s">
        <v>547</v>
      </c>
      <c r="Z46">
        <v>45</v>
      </c>
      <c r="AA46" s="9" t="s">
        <v>555</v>
      </c>
      <c r="AB46" s="9" t="s">
        <v>555</v>
      </c>
      <c r="AC46" s="9" t="s">
        <v>555</v>
      </c>
      <c r="AD46" s="9" t="s">
        <v>556</v>
      </c>
      <c r="AI46">
        <v>45</v>
      </c>
      <c r="AJ46" t="s">
        <v>566</v>
      </c>
    </row>
    <row r="47" spans="1:36" x14ac:dyDescent="0.3">
      <c r="A47" s="1"/>
      <c r="B47" s="1"/>
      <c r="C47" s="1"/>
      <c r="D47" s="1"/>
      <c r="E47" s="1"/>
      <c r="F47" s="1"/>
      <c r="G47" s="1"/>
      <c r="K47" s="1"/>
      <c r="L47" s="1"/>
      <c r="M47" s="1"/>
      <c r="N47" s="1"/>
      <c r="O47" s="1"/>
      <c r="P47" s="1"/>
      <c r="T47">
        <v>46</v>
      </c>
      <c r="U47" t="s">
        <v>538</v>
      </c>
      <c r="W47">
        <v>46</v>
      </c>
      <c r="X47" t="s">
        <v>547</v>
      </c>
      <c r="Z47">
        <v>46</v>
      </c>
      <c r="AA47" s="9" t="s">
        <v>555</v>
      </c>
      <c r="AB47" s="9" t="s">
        <v>555</v>
      </c>
      <c r="AC47" s="9" t="s">
        <v>555</v>
      </c>
      <c r="AD47" s="9" t="s">
        <v>556</v>
      </c>
      <c r="AI47">
        <v>46</v>
      </c>
      <c r="AJ47" t="s">
        <v>566</v>
      </c>
    </row>
    <row r="48" spans="1:36" x14ac:dyDescent="0.3">
      <c r="A48" s="1"/>
      <c r="B48" s="1"/>
      <c r="C48" s="1"/>
      <c r="D48" s="1"/>
      <c r="E48" s="1"/>
      <c r="F48" s="1"/>
      <c r="G48" s="1"/>
      <c r="K48" s="1"/>
      <c r="L48" s="1"/>
      <c r="M48" s="1"/>
      <c r="N48" s="1"/>
      <c r="O48" s="1"/>
      <c r="P48" s="1"/>
      <c r="T48">
        <v>47</v>
      </c>
      <c r="U48" t="s">
        <v>538</v>
      </c>
      <c r="W48">
        <v>47</v>
      </c>
      <c r="X48" t="s">
        <v>547</v>
      </c>
      <c r="Z48">
        <v>47</v>
      </c>
      <c r="AA48" s="9" t="s">
        <v>555</v>
      </c>
      <c r="AB48" s="9" t="s">
        <v>555</v>
      </c>
      <c r="AC48" s="9" t="s">
        <v>555</v>
      </c>
      <c r="AD48" s="9" t="s">
        <v>556</v>
      </c>
      <c r="AI48">
        <v>47</v>
      </c>
      <c r="AJ48" t="s">
        <v>566</v>
      </c>
    </row>
    <row r="49" spans="1:36" x14ac:dyDescent="0.3">
      <c r="A49" s="1"/>
      <c r="B49" s="1"/>
      <c r="C49" s="1"/>
      <c r="D49" s="1"/>
      <c r="E49" s="1"/>
      <c r="F49" s="1"/>
      <c r="G49" s="1"/>
      <c r="K49" s="1"/>
      <c r="L49" s="1"/>
      <c r="M49" s="1"/>
      <c r="N49" s="1"/>
      <c r="O49" s="1"/>
      <c r="P49" s="1"/>
      <c r="T49">
        <v>48</v>
      </c>
      <c r="U49" t="s">
        <v>538</v>
      </c>
      <c r="W49">
        <v>48</v>
      </c>
      <c r="X49" t="s">
        <v>547</v>
      </c>
      <c r="Z49">
        <v>48</v>
      </c>
      <c r="AA49" s="9" t="s">
        <v>555</v>
      </c>
      <c r="AB49" s="9" t="s">
        <v>555</v>
      </c>
      <c r="AC49" s="9" t="s">
        <v>555</v>
      </c>
      <c r="AD49" s="9" t="s">
        <v>556</v>
      </c>
      <c r="AI49">
        <v>48</v>
      </c>
      <c r="AJ49" t="s">
        <v>176</v>
      </c>
    </row>
    <row r="50" spans="1:36" x14ac:dyDescent="0.3">
      <c r="A50" s="1"/>
      <c r="B50" s="1"/>
      <c r="C50" s="1"/>
      <c r="D50" s="1"/>
      <c r="E50" s="1"/>
      <c r="F50" s="1"/>
      <c r="G50" s="1"/>
      <c r="K50" s="1"/>
      <c r="L50" s="1"/>
      <c r="M50" s="1"/>
      <c r="N50" s="1"/>
      <c r="O50" s="1"/>
      <c r="P50" s="1"/>
      <c r="T50">
        <v>49</v>
      </c>
      <c r="U50" t="s">
        <v>538</v>
      </c>
      <c r="W50">
        <v>49</v>
      </c>
      <c r="X50" t="s">
        <v>547</v>
      </c>
      <c r="Z50">
        <v>49</v>
      </c>
      <c r="AA50" s="9" t="s">
        <v>555</v>
      </c>
      <c r="AB50" s="9" t="s">
        <v>555</v>
      </c>
      <c r="AC50" s="9" t="s">
        <v>555</v>
      </c>
      <c r="AD50" s="9" t="s">
        <v>556</v>
      </c>
      <c r="AI50">
        <v>49</v>
      </c>
      <c r="AJ50" t="s">
        <v>176</v>
      </c>
    </row>
    <row r="51" spans="1:36" x14ac:dyDescent="0.3">
      <c r="A51" s="1"/>
      <c r="B51" s="1"/>
      <c r="C51" s="1"/>
      <c r="D51" s="1"/>
      <c r="E51" s="1"/>
      <c r="F51" s="1"/>
      <c r="G51" s="1"/>
      <c r="T51">
        <v>50</v>
      </c>
      <c r="U51" t="s">
        <v>538</v>
      </c>
      <c r="W51">
        <v>50</v>
      </c>
      <c r="X51" t="s">
        <v>547</v>
      </c>
      <c r="Z51">
        <v>50</v>
      </c>
      <c r="AA51" s="9" t="s">
        <v>555</v>
      </c>
      <c r="AB51" s="9" t="s">
        <v>555</v>
      </c>
      <c r="AC51" s="9" t="s">
        <v>555</v>
      </c>
      <c r="AD51" s="9" t="s">
        <v>556</v>
      </c>
      <c r="AI51">
        <v>50</v>
      </c>
      <c r="AJ51" t="s">
        <v>176</v>
      </c>
    </row>
    <row r="52" spans="1:36" x14ac:dyDescent="0.3">
      <c r="B52" s="1"/>
      <c r="C52" s="1"/>
      <c r="D52" s="1"/>
      <c r="E52" s="1"/>
      <c r="F52" s="1"/>
      <c r="G52" s="1"/>
      <c r="T52">
        <v>51</v>
      </c>
      <c r="U52" t="s">
        <v>538</v>
      </c>
      <c r="W52">
        <v>51</v>
      </c>
      <c r="X52" t="s">
        <v>548</v>
      </c>
      <c r="Z52">
        <v>51</v>
      </c>
      <c r="AA52" s="9" t="s">
        <v>555</v>
      </c>
      <c r="AB52" s="9" t="s">
        <v>555</v>
      </c>
      <c r="AC52" s="9" t="s">
        <v>556</v>
      </c>
      <c r="AD52" s="9" t="s">
        <v>556</v>
      </c>
      <c r="AI52">
        <v>51</v>
      </c>
      <c r="AJ52" t="s">
        <v>375</v>
      </c>
    </row>
    <row r="53" spans="1:36" x14ac:dyDescent="0.3">
      <c r="T53">
        <v>52</v>
      </c>
      <c r="U53" t="s">
        <v>538</v>
      </c>
      <c r="W53">
        <v>52</v>
      </c>
      <c r="X53" t="s">
        <v>548</v>
      </c>
      <c r="Z53">
        <v>52</v>
      </c>
      <c r="AA53" s="9" t="s">
        <v>555</v>
      </c>
      <c r="AB53" s="9" t="s">
        <v>555</v>
      </c>
      <c r="AC53" s="9" t="s">
        <v>556</v>
      </c>
      <c r="AD53" s="9" t="s">
        <v>556</v>
      </c>
      <c r="AI53">
        <v>52</v>
      </c>
      <c r="AJ53" t="s">
        <v>375</v>
      </c>
    </row>
    <row r="54" spans="1:36" x14ac:dyDescent="0.3">
      <c r="T54">
        <v>53</v>
      </c>
      <c r="U54" t="s">
        <v>538</v>
      </c>
      <c r="W54">
        <v>53</v>
      </c>
      <c r="X54" t="s">
        <v>548</v>
      </c>
      <c r="Z54">
        <v>53</v>
      </c>
      <c r="AA54" s="9" t="s">
        <v>555</v>
      </c>
      <c r="AB54" s="9" t="s">
        <v>555</v>
      </c>
      <c r="AC54" s="9" t="s">
        <v>556</v>
      </c>
      <c r="AD54" s="9" t="s">
        <v>556</v>
      </c>
      <c r="AI54">
        <v>53</v>
      </c>
      <c r="AJ54" t="s">
        <v>375</v>
      </c>
    </row>
    <row r="55" spans="1:36" x14ac:dyDescent="0.3">
      <c r="T55">
        <v>54</v>
      </c>
      <c r="U55" t="s">
        <v>538</v>
      </c>
      <c r="W55">
        <v>54</v>
      </c>
      <c r="X55" t="s">
        <v>548</v>
      </c>
      <c r="Z55">
        <v>54</v>
      </c>
      <c r="AA55" s="9" t="s">
        <v>555</v>
      </c>
      <c r="AB55" s="9" t="s">
        <v>555</v>
      </c>
      <c r="AC55" s="9" t="s">
        <v>556</v>
      </c>
      <c r="AD55" s="9" t="s">
        <v>556</v>
      </c>
      <c r="AI55">
        <v>54</v>
      </c>
      <c r="AJ55" t="s">
        <v>375</v>
      </c>
    </row>
    <row r="56" spans="1:36" x14ac:dyDescent="0.3">
      <c r="T56">
        <v>55</v>
      </c>
      <c r="U56" t="s">
        <v>538</v>
      </c>
      <c r="W56">
        <v>55</v>
      </c>
      <c r="X56" t="s">
        <v>548</v>
      </c>
      <c r="Z56">
        <v>55</v>
      </c>
      <c r="AA56" s="9" t="s">
        <v>555</v>
      </c>
      <c r="AB56" s="9" t="s">
        <v>555</v>
      </c>
      <c r="AC56" s="9" t="s">
        <v>556</v>
      </c>
      <c r="AD56" s="9" t="s">
        <v>556</v>
      </c>
      <c r="AI56">
        <v>55</v>
      </c>
      <c r="AJ56" t="s">
        <v>375</v>
      </c>
    </row>
    <row r="57" spans="1:36" x14ac:dyDescent="0.3">
      <c r="T57">
        <v>56</v>
      </c>
      <c r="U57" t="s">
        <v>538</v>
      </c>
      <c r="W57">
        <v>56</v>
      </c>
      <c r="X57" t="s">
        <v>358</v>
      </c>
      <c r="Z57">
        <v>56</v>
      </c>
      <c r="AA57" s="9" t="s">
        <v>555</v>
      </c>
      <c r="AB57" s="9" t="s">
        <v>555</v>
      </c>
      <c r="AC57" s="9" t="s">
        <v>556</v>
      </c>
      <c r="AD57" s="9" t="s">
        <v>556</v>
      </c>
      <c r="AI57">
        <v>56</v>
      </c>
      <c r="AJ57" t="s">
        <v>375</v>
      </c>
    </row>
    <row r="58" spans="1:36" x14ac:dyDescent="0.3">
      <c r="T58">
        <v>57</v>
      </c>
      <c r="U58" t="s">
        <v>538</v>
      </c>
      <c r="W58">
        <v>57</v>
      </c>
      <c r="X58" t="s">
        <v>358</v>
      </c>
      <c r="Z58">
        <v>57</v>
      </c>
      <c r="AA58" s="9" t="s">
        <v>555</v>
      </c>
      <c r="AB58" s="9" t="s">
        <v>555</v>
      </c>
      <c r="AC58" s="9" t="s">
        <v>556</v>
      </c>
      <c r="AD58" s="9" t="s">
        <v>556</v>
      </c>
      <c r="AI58">
        <v>57</v>
      </c>
      <c r="AJ58" t="s">
        <v>375</v>
      </c>
    </row>
    <row r="59" spans="1:36" x14ac:dyDescent="0.3">
      <c r="T59">
        <v>58</v>
      </c>
      <c r="U59" t="s">
        <v>538</v>
      </c>
      <c r="W59">
        <v>58</v>
      </c>
      <c r="X59" t="s">
        <v>358</v>
      </c>
      <c r="Z59">
        <v>58</v>
      </c>
      <c r="AA59" s="9" t="s">
        <v>555</v>
      </c>
      <c r="AB59" s="9" t="s">
        <v>555</v>
      </c>
      <c r="AC59" s="9" t="s">
        <v>556</v>
      </c>
      <c r="AD59" s="9" t="s">
        <v>556</v>
      </c>
      <c r="AI59">
        <v>58</v>
      </c>
      <c r="AJ59" t="s">
        <v>375</v>
      </c>
    </row>
    <row r="60" spans="1:36" x14ac:dyDescent="0.3">
      <c r="T60">
        <v>59</v>
      </c>
      <c r="U60" t="s">
        <v>538</v>
      </c>
      <c r="W60">
        <v>59</v>
      </c>
      <c r="X60" t="s">
        <v>358</v>
      </c>
      <c r="Z60">
        <v>59</v>
      </c>
      <c r="AA60" s="9" t="s">
        <v>555</v>
      </c>
      <c r="AB60" s="9" t="s">
        <v>555</v>
      </c>
      <c r="AC60" s="9" t="s">
        <v>556</v>
      </c>
      <c r="AD60" s="9" t="s">
        <v>556</v>
      </c>
      <c r="AI60">
        <v>59</v>
      </c>
      <c r="AJ60" t="s">
        <v>375</v>
      </c>
    </row>
    <row r="61" spans="1:36" x14ac:dyDescent="0.3">
      <c r="T61">
        <v>60</v>
      </c>
      <c r="U61" t="s">
        <v>538</v>
      </c>
      <c r="W61">
        <v>60</v>
      </c>
      <c r="X61" t="s">
        <v>358</v>
      </c>
      <c r="Z61">
        <v>60</v>
      </c>
      <c r="AA61" s="9" t="s">
        <v>555</v>
      </c>
      <c r="AB61" s="9" t="s">
        <v>555</v>
      </c>
      <c r="AC61" s="9" t="s">
        <v>556</v>
      </c>
      <c r="AD61" s="9" t="s">
        <v>556</v>
      </c>
      <c r="AI61">
        <v>60</v>
      </c>
      <c r="AJ61" t="s">
        <v>375</v>
      </c>
    </row>
    <row r="62" spans="1:36" x14ac:dyDescent="0.3">
      <c r="T62">
        <v>61</v>
      </c>
      <c r="U62" t="s">
        <v>538</v>
      </c>
      <c r="W62">
        <v>61</v>
      </c>
      <c r="X62" t="s">
        <v>358</v>
      </c>
      <c r="Z62">
        <v>61</v>
      </c>
      <c r="AA62" s="9" t="s">
        <v>555</v>
      </c>
      <c r="AB62" s="9" t="s">
        <v>556</v>
      </c>
      <c r="AC62" s="9" t="s">
        <v>556</v>
      </c>
      <c r="AD62" s="9" t="s">
        <v>556</v>
      </c>
      <c r="AI62">
        <v>61</v>
      </c>
      <c r="AJ62" t="s">
        <v>180</v>
      </c>
    </row>
    <row r="63" spans="1:36" x14ac:dyDescent="0.3">
      <c r="T63">
        <v>62</v>
      </c>
      <c r="U63" t="s">
        <v>538</v>
      </c>
      <c r="W63">
        <v>62</v>
      </c>
      <c r="X63" t="s">
        <v>358</v>
      </c>
      <c r="Z63">
        <v>62</v>
      </c>
      <c r="AA63" s="9" t="s">
        <v>555</v>
      </c>
      <c r="AB63" s="9" t="s">
        <v>556</v>
      </c>
      <c r="AC63" s="9" t="s">
        <v>556</v>
      </c>
      <c r="AD63" s="9" t="s">
        <v>556</v>
      </c>
      <c r="AI63">
        <v>62</v>
      </c>
      <c r="AJ63" t="s">
        <v>180</v>
      </c>
    </row>
    <row r="64" spans="1:36" x14ac:dyDescent="0.3">
      <c r="T64">
        <v>63</v>
      </c>
      <c r="U64" t="s">
        <v>538</v>
      </c>
      <c r="W64">
        <v>63</v>
      </c>
      <c r="X64" t="s">
        <v>358</v>
      </c>
      <c r="Z64">
        <v>63</v>
      </c>
      <c r="AA64" s="9" t="s">
        <v>555</v>
      </c>
      <c r="AB64" s="9" t="s">
        <v>556</v>
      </c>
      <c r="AC64" s="9" t="s">
        <v>556</v>
      </c>
      <c r="AD64" s="9" t="s">
        <v>556</v>
      </c>
      <c r="AI64">
        <v>63</v>
      </c>
      <c r="AJ64" t="s">
        <v>180</v>
      </c>
    </row>
    <row r="65" spans="20:36" x14ac:dyDescent="0.3">
      <c r="T65">
        <v>64</v>
      </c>
      <c r="U65" t="s">
        <v>538</v>
      </c>
      <c r="W65">
        <v>64</v>
      </c>
      <c r="X65" t="s">
        <v>358</v>
      </c>
      <c r="Z65">
        <v>64</v>
      </c>
      <c r="AA65" s="9" t="s">
        <v>555</v>
      </c>
      <c r="AB65" s="9" t="s">
        <v>556</v>
      </c>
      <c r="AC65" s="9" t="s">
        <v>556</v>
      </c>
      <c r="AD65" s="9" t="s">
        <v>556</v>
      </c>
      <c r="AI65">
        <v>64</v>
      </c>
      <c r="AJ65" t="s">
        <v>180</v>
      </c>
    </row>
    <row r="66" spans="20:36" x14ac:dyDescent="0.3">
      <c r="T66">
        <v>65</v>
      </c>
      <c r="U66" t="s">
        <v>538</v>
      </c>
      <c r="W66">
        <v>65</v>
      </c>
      <c r="X66" t="s">
        <v>358</v>
      </c>
      <c r="Z66">
        <v>65</v>
      </c>
      <c r="AA66" s="9" t="s">
        <v>555</v>
      </c>
      <c r="AB66" s="9" t="s">
        <v>556</v>
      </c>
      <c r="AC66" s="9" t="s">
        <v>556</v>
      </c>
      <c r="AD66" s="9" t="s">
        <v>556</v>
      </c>
      <c r="AI66">
        <v>65</v>
      </c>
      <c r="AJ66" t="s">
        <v>180</v>
      </c>
    </row>
    <row r="67" spans="20:36" x14ac:dyDescent="0.3">
      <c r="T67">
        <v>66</v>
      </c>
      <c r="U67" t="s">
        <v>538</v>
      </c>
      <c r="W67">
        <v>66</v>
      </c>
      <c r="X67" t="s">
        <v>358</v>
      </c>
      <c r="Z67">
        <v>66</v>
      </c>
      <c r="AA67" s="9" t="s">
        <v>555</v>
      </c>
      <c r="AB67" s="9" t="s">
        <v>556</v>
      </c>
      <c r="AC67" s="9" t="s">
        <v>556</v>
      </c>
      <c r="AD67" s="9" t="s">
        <v>556</v>
      </c>
      <c r="AI67">
        <v>66</v>
      </c>
      <c r="AJ67" t="s">
        <v>180</v>
      </c>
    </row>
    <row r="68" spans="20:36" x14ac:dyDescent="0.3">
      <c r="T68">
        <v>67</v>
      </c>
      <c r="U68" t="s">
        <v>538</v>
      </c>
      <c r="W68">
        <v>67</v>
      </c>
      <c r="X68" t="s">
        <v>358</v>
      </c>
      <c r="Z68">
        <v>67</v>
      </c>
      <c r="AA68" s="9" t="s">
        <v>555</v>
      </c>
      <c r="AB68" s="9" t="s">
        <v>556</v>
      </c>
      <c r="AC68" s="9" t="s">
        <v>556</v>
      </c>
      <c r="AD68" s="9" t="s">
        <v>556</v>
      </c>
      <c r="AI68">
        <v>67</v>
      </c>
      <c r="AJ68" t="s">
        <v>376</v>
      </c>
    </row>
    <row r="69" spans="20:36" x14ac:dyDescent="0.3">
      <c r="T69">
        <v>68</v>
      </c>
      <c r="U69" t="s">
        <v>538</v>
      </c>
      <c r="W69">
        <v>68</v>
      </c>
      <c r="X69" t="s">
        <v>358</v>
      </c>
      <c r="Z69">
        <v>68</v>
      </c>
      <c r="AA69" s="9" t="s">
        <v>555</v>
      </c>
      <c r="AB69" s="9" t="s">
        <v>556</v>
      </c>
      <c r="AC69" s="9" t="s">
        <v>556</v>
      </c>
      <c r="AD69" s="9" t="s">
        <v>557</v>
      </c>
      <c r="AI69">
        <v>68</v>
      </c>
      <c r="AJ69" t="s">
        <v>376</v>
      </c>
    </row>
    <row r="70" spans="20:36" x14ac:dyDescent="0.3">
      <c r="T70">
        <v>69</v>
      </c>
      <c r="U70" t="s">
        <v>539</v>
      </c>
      <c r="W70">
        <v>69</v>
      </c>
      <c r="X70" t="s">
        <v>358</v>
      </c>
      <c r="Z70">
        <v>69</v>
      </c>
      <c r="AA70" s="9" t="s">
        <v>555</v>
      </c>
      <c r="AB70" s="9" t="s">
        <v>556</v>
      </c>
      <c r="AC70" s="9" t="s">
        <v>556</v>
      </c>
      <c r="AD70" s="9" t="s">
        <v>557</v>
      </c>
      <c r="AI70">
        <v>69</v>
      </c>
      <c r="AJ70" t="s">
        <v>376</v>
      </c>
    </row>
    <row r="71" spans="20:36" x14ac:dyDescent="0.3">
      <c r="T71">
        <v>70</v>
      </c>
      <c r="U71" t="s">
        <v>539</v>
      </c>
      <c r="W71">
        <v>70</v>
      </c>
      <c r="X71" t="s">
        <v>358</v>
      </c>
      <c r="Z71">
        <v>70</v>
      </c>
      <c r="AA71" s="9" t="s">
        <v>555</v>
      </c>
      <c r="AB71" s="9" t="s">
        <v>556</v>
      </c>
      <c r="AC71" s="9" t="s">
        <v>556</v>
      </c>
      <c r="AD71" s="9" t="s">
        <v>557</v>
      </c>
      <c r="AI71">
        <v>70</v>
      </c>
      <c r="AJ71" t="s">
        <v>376</v>
      </c>
    </row>
    <row r="72" spans="20:36" x14ac:dyDescent="0.3">
      <c r="T72">
        <v>71</v>
      </c>
      <c r="U72" t="s">
        <v>539</v>
      </c>
      <c r="W72">
        <v>71</v>
      </c>
      <c r="X72" t="s">
        <v>358</v>
      </c>
      <c r="Z72">
        <v>71</v>
      </c>
      <c r="AA72" s="9" t="s">
        <v>556</v>
      </c>
      <c r="AB72" s="9" t="s">
        <v>556</v>
      </c>
      <c r="AC72" s="9" t="s">
        <v>556</v>
      </c>
      <c r="AD72" s="9" t="s">
        <v>557</v>
      </c>
      <c r="AI72">
        <v>71</v>
      </c>
      <c r="AJ72" t="s">
        <v>376</v>
      </c>
    </row>
    <row r="73" spans="20:36" x14ac:dyDescent="0.3">
      <c r="T73">
        <v>72</v>
      </c>
      <c r="U73" t="s">
        <v>539</v>
      </c>
      <c r="W73">
        <v>72</v>
      </c>
      <c r="X73" t="s">
        <v>358</v>
      </c>
      <c r="Z73">
        <v>72</v>
      </c>
      <c r="AA73" s="9" t="s">
        <v>556</v>
      </c>
      <c r="AB73" s="9" t="s">
        <v>556</v>
      </c>
      <c r="AC73" s="9" t="s">
        <v>556</v>
      </c>
      <c r="AD73" s="9" t="s">
        <v>557</v>
      </c>
      <c r="AI73">
        <v>72</v>
      </c>
      <c r="AJ73" t="s">
        <v>376</v>
      </c>
    </row>
    <row r="74" spans="20:36" x14ac:dyDescent="0.3">
      <c r="T74">
        <v>73</v>
      </c>
      <c r="U74" t="s">
        <v>539</v>
      </c>
      <c r="W74">
        <v>73</v>
      </c>
      <c r="X74" t="s">
        <v>358</v>
      </c>
      <c r="Z74">
        <v>73</v>
      </c>
      <c r="AA74" s="9" t="s">
        <v>556</v>
      </c>
      <c r="AB74" s="9" t="s">
        <v>556</v>
      </c>
      <c r="AC74" s="9" t="s">
        <v>556</v>
      </c>
      <c r="AD74" s="9" t="s">
        <v>557</v>
      </c>
      <c r="AI74">
        <v>73</v>
      </c>
      <c r="AJ74" t="s">
        <v>376</v>
      </c>
    </row>
    <row r="75" spans="20:36" x14ac:dyDescent="0.3">
      <c r="T75">
        <v>74</v>
      </c>
      <c r="U75" t="s">
        <v>539</v>
      </c>
      <c r="W75">
        <v>74</v>
      </c>
      <c r="X75" t="s">
        <v>358</v>
      </c>
      <c r="Z75">
        <v>74</v>
      </c>
      <c r="AA75" s="9" t="s">
        <v>556</v>
      </c>
      <c r="AB75" s="9" t="s">
        <v>556</v>
      </c>
      <c r="AC75" s="9" t="s">
        <v>556</v>
      </c>
      <c r="AD75" s="9" t="s">
        <v>557</v>
      </c>
      <c r="AI75">
        <v>74</v>
      </c>
      <c r="AJ75" t="s">
        <v>376</v>
      </c>
    </row>
    <row r="76" spans="20:36" x14ac:dyDescent="0.3">
      <c r="T76">
        <v>75</v>
      </c>
      <c r="U76" t="s">
        <v>539</v>
      </c>
      <c r="W76">
        <v>75</v>
      </c>
      <c r="X76" t="s">
        <v>358</v>
      </c>
      <c r="Z76">
        <v>75</v>
      </c>
      <c r="AA76" s="9" t="s">
        <v>556</v>
      </c>
      <c r="AB76" s="9" t="s">
        <v>556</v>
      </c>
      <c r="AC76" s="9" t="s">
        <v>557</v>
      </c>
      <c r="AD76" s="9" t="s">
        <v>557</v>
      </c>
      <c r="AI76">
        <v>75</v>
      </c>
      <c r="AJ76" t="s">
        <v>376</v>
      </c>
    </row>
    <row r="77" spans="20:36" x14ac:dyDescent="0.3">
      <c r="T77">
        <v>76</v>
      </c>
      <c r="U77" t="s">
        <v>539</v>
      </c>
      <c r="W77">
        <v>76</v>
      </c>
      <c r="X77" t="s">
        <v>549</v>
      </c>
      <c r="Z77">
        <v>76</v>
      </c>
      <c r="AA77" s="9" t="s">
        <v>556</v>
      </c>
      <c r="AB77" s="9" t="s">
        <v>556</v>
      </c>
      <c r="AC77" s="9" t="s">
        <v>557</v>
      </c>
      <c r="AD77" s="9" t="s">
        <v>557</v>
      </c>
      <c r="AI77">
        <v>76</v>
      </c>
      <c r="AJ77" t="s">
        <v>187</v>
      </c>
    </row>
    <row r="78" spans="20:36" x14ac:dyDescent="0.3">
      <c r="T78">
        <v>77</v>
      </c>
      <c r="U78" t="s">
        <v>539</v>
      </c>
      <c r="W78">
        <v>77</v>
      </c>
      <c r="X78" t="s">
        <v>549</v>
      </c>
      <c r="Z78">
        <v>77</v>
      </c>
      <c r="AA78" s="9" t="s">
        <v>556</v>
      </c>
      <c r="AB78" s="9" t="s">
        <v>556</v>
      </c>
      <c r="AC78" s="9" t="s">
        <v>557</v>
      </c>
      <c r="AD78" s="9" t="s">
        <v>557</v>
      </c>
      <c r="AI78">
        <v>77</v>
      </c>
      <c r="AJ78" t="s">
        <v>187</v>
      </c>
    </row>
    <row r="79" spans="20:36" x14ac:dyDescent="0.3">
      <c r="T79">
        <v>78</v>
      </c>
      <c r="U79" t="s">
        <v>539</v>
      </c>
      <c r="W79">
        <v>78</v>
      </c>
      <c r="X79" t="s">
        <v>550</v>
      </c>
      <c r="Z79">
        <v>78</v>
      </c>
      <c r="AA79" s="9" t="s">
        <v>556</v>
      </c>
      <c r="AB79" s="9" t="s">
        <v>556</v>
      </c>
      <c r="AC79" s="9" t="s">
        <v>557</v>
      </c>
      <c r="AD79" s="9" t="s">
        <v>557</v>
      </c>
      <c r="AI79">
        <v>78</v>
      </c>
      <c r="AJ79" t="s">
        <v>187</v>
      </c>
    </row>
    <row r="80" spans="20:36" x14ac:dyDescent="0.3">
      <c r="T80">
        <v>79</v>
      </c>
      <c r="U80" t="s">
        <v>539</v>
      </c>
      <c r="W80">
        <v>79</v>
      </c>
      <c r="X80" t="s">
        <v>550</v>
      </c>
      <c r="Z80">
        <v>79</v>
      </c>
      <c r="AA80" s="9" t="s">
        <v>556</v>
      </c>
      <c r="AB80" s="9" t="s">
        <v>556</v>
      </c>
      <c r="AC80" s="9" t="s">
        <v>557</v>
      </c>
      <c r="AD80" s="9" t="s">
        <v>557</v>
      </c>
      <c r="AI80">
        <v>79</v>
      </c>
      <c r="AJ80" t="s">
        <v>187</v>
      </c>
    </row>
    <row r="81" spans="20:36" x14ac:dyDescent="0.3">
      <c r="T81">
        <v>80</v>
      </c>
      <c r="U81" t="s">
        <v>539</v>
      </c>
      <c r="W81">
        <v>80</v>
      </c>
      <c r="X81" t="s">
        <v>550</v>
      </c>
      <c r="Z81">
        <v>80</v>
      </c>
      <c r="AA81" s="9" t="s">
        <v>556</v>
      </c>
      <c r="AB81" s="9" t="s">
        <v>556</v>
      </c>
      <c r="AC81" s="9" t="s">
        <v>557</v>
      </c>
      <c r="AD81" s="9" t="s">
        <v>557</v>
      </c>
      <c r="AI81">
        <v>80</v>
      </c>
      <c r="AJ81" t="s">
        <v>187</v>
      </c>
    </row>
    <row r="82" spans="20:36" x14ac:dyDescent="0.3">
      <c r="T82">
        <v>81</v>
      </c>
      <c r="U82" t="s">
        <v>539</v>
      </c>
      <c r="W82">
        <v>81</v>
      </c>
      <c r="X82" t="s">
        <v>550</v>
      </c>
      <c r="Z82">
        <v>81</v>
      </c>
      <c r="AA82" s="9" t="s">
        <v>556</v>
      </c>
      <c r="AB82" s="9" t="s">
        <v>556</v>
      </c>
      <c r="AC82" s="9" t="s">
        <v>557</v>
      </c>
      <c r="AD82" s="9" t="s">
        <v>557</v>
      </c>
      <c r="AI82">
        <v>81</v>
      </c>
      <c r="AJ82" t="s">
        <v>187</v>
      </c>
    </row>
    <row r="83" spans="20:36" x14ac:dyDescent="0.3">
      <c r="T83">
        <v>82</v>
      </c>
      <c r="U83" t="s">
        <v>540</v>
      </c>
      <c r="W83">
        <v>82</v>
      </c>
      <c r="X83" t="s">
        <v>550</v>
      </c>
      <c r="Z83">
        <v>82</v>
      </c>
      <c r="AA83" s="9" t="s">
        <v>556</v>
      </c>
      <c r="AB83" s="9" t="s">
        <v>557</v>
      </c>
      <c r="AC83" s="9" t="s">
        <v>557</v>
      </c>
      <c r="AD83" s="9" t="s">
        <v>557</v>
      </c>
      <c r="AI83">
        <v>82</v>
      </c>
      <c r="AJ83" t="s">
        <v>187</v>
      </c>
    </row>
    <row r="84" spans="20:36" x14ac:dyDescent="0.3">
      <c r="T84">
        <v>83</v>
      </c>
      <c r="U84" t="s">
        <v>540</v>
      </c>
      <c r="W84">
        <v>83</v>
      </c>
      <c r="X84" t="s">
        <v>550</v>
      </c>
      <c r="Z84">
        <v>83</v>
      </c>
      <c r="AA84" s="9" t="s">
        <v>556</v>
      </c>
      <c r="AB84" s="9" t="s">
        <v>557</v>
      </c>
      <c r="AC84" s="9" t="s">
        <v>557</v>
      </c>
      <c r="AD84" s="9" t="s">
        <v>557</v>
      </c>
      <c r="AI84">
        <v>83</v>
      </c>
      <c r="AJ84" t="s">
        <v>187</v>
      </c>
    </row>
    <row r="85" spans="20:36" x14ac:dyDescent="0.3">
      <c r="T85">
        <v>84</v>
      </c>
      <c r="U85" t="s">
        <v>540</v>
      </c>
      <c r="W85">
        <v>84</v>
      </c>
      <c r="X85" t="s">
        <v>550</v>
      </c>
      <c r="Z85">
        <v>84</v>
      </c>
      <c r="AA85" s="9" t="s">
        <v>556</v>
      </c>
      <c r="AB85" s="9" t="s">
        <v>557</v>
      </c>
      <c r="AC85" s="9" t="s">
        <v>557</v>
      </c>
      <c r="AD85" s="9" t="s">
        <v>557</v>
      </c>
      <c r="AI85">
        <v>84</v>
      </c>
      <c r="AJ85" t="s">
        <v>187</v>
      </c>
    </row>
    <row r="86" spans="20:36" x14ac:dyDescent="0.3">
      <c r="T86">
        <v>85</v>
      </c>
      <c r="U86" t="s">
        <v>540</v>
      </c>
      <c r="W86">
        <v>85</v>
      </c>
      <c r="X86" t="s">
        <v>550</v>
      </c>
      <c r="Z86">
        <v>85</v>
      </c>
      <c r="AA86" s="9" t="s">
        <v>556</v>
      </c>
      <c r="AB86" s="9" t="s">
        <v>557</v>
      </c>
      <c r="AC86" s="9" t="s">
        <v>557</v>
      </c>
      <c r="AD86" s="9" t="s">
        <v>558</v>
      </c>
      <c r="AI86">
        <v>85</v>
      </c>
      <c r="AJ86" t="s">
        <v>187</v>
      </c>
    </row>
    <row r="87" spans="20:36" x14ac:dyDescent="0.3">
      <c r="T87">
        <v>86</v>
      </c>
      <c r="U87" t="s">
        <v>540</v>
      </c>
      <c r="W87">
        <v>86</v>
      </c>
      <c r="X87" t="s">
        <v>551</v>
      </c>
      <c r="Z87">
        <v>86</v>
      </c>
      <c r="AA87" s="9" t="s">
        <v>556</v>
      </c>
      <c r="AB87" s="9" t="s">
        <v>557</v>
      </c>
      <c r="AC87" s="9" t="s">
        <v>557</v>
      </c>
      <c r="AD87" s="9" t="s">
        <v>558</v>
      </c>
      <c r="AI87">
        <v>86</v>
      </c>
      <c r="AJ87" t="s">
        <v>567</v>
      </c>
    </row>
    <row r="88" spans="20:36" x14ac:dyDescent="0.3">
      <c r="T88">
        <v>87</v>
      </c>
      <c r="U88" t="s">
        <v>540</v>
      </c>
      <c r="W88">
        <v>87</v>
      </c>
      <c r="X88" t="s">
        <v>551</v>
      </c>
      <c r="Z88">
        <v>87</v>
      </c>
      <c r="AA88" s="9" t="s">
        <v>556</v>
      </c>
      <c r="AB88" s="9" t="s">
        <v>557</v>
      </c>
      <c r="AC88" s="9" t="s">
        <v>557</v>
      </c>
      <c r="AD88" s="9" t="s">
        <v>558</v>
      </c>
      <c r="AI88">
        <v>87</v>
      </c>
      <c r="AJ88" t="s">
        <v>567</v>
      </c>
    </row>
    <row r="89" spans="20:36" x14ac:dyDescent="0.3">
      <c r="T89">
        <v>88</v>
      </c>
      <c r="U89" t="s">
        <v>540</v>
      </c>
      <c r="W89">
        <v>88</v>
      </c>
      <c r="X89" t="s">
        <v>551</v>
      </c>
      <c r="Z89">
        <v>88</v>
      </c>
      <c r="AA89" s="9" t="s">
        <v>556</v>
      </c>
      <c r="AB89" s="9" t="s">
        <v>557</v>
      </c>
      <c r="AC89" s="9" t="s">
        <v>557</v>
      </c>
      <c r="AD89" s="9" t="s">
        <v>558</v>
      </c>
      <c r="AI89">
        <v>88</v>
      </c>
      <c r="AJ89" t="s">
        <v>567</v>
      </c>
    </row>
    <row r="90" spans="20:36" x14ac:dyDescent="0.3">
      <c r="T90">
        <v>89</v>
      </c>
      <c r="U90" t="s">
        <v>540</v>
      </c>
      <c r="W90">
        <v>89</v>
      </c>
      <c r="X90" t="s">
        <v>551</v>
      </c>
      <c r="Z90">
        <v>89</v>
      </c>
      <c r="AA90" s="9" t="s">
        <v>557</v>
      </c>
      <c r="AB90" s="9" t="s">
        <v>557</v>
      </c>
      <c r="AC90" s="9" t="s">
        <v>558</v>
      </c>
      <c r="AD90" s="9" t="s">
        <v>558</v>
      </c>
      <c r="AI90">
        <v>89</v>
      </c>
      <c r="AJ90" t="s">
        <v>567</v>
      </c>
    </row>
    <row r="91" spans="20:36" x14ac:dyDescent="0.3">
      <c r="T91">
        <v>90</v>
      </c>
      <c r="U91" t="s">
        <v>540</v>
      </c>
      <c r="W91">
        <v>90</v>
      </c>
      <c r="X91" t="s">
        <v>551</v>
      </c>
      <c r="Z91">
        <v>90</v>
      </c>
      <c r="AA91" s="9" t="s">
        <v>557</v>
      </c>
      <c r="AB91" s="9" t="s">
        <v>557</v>
      </c>
      <c r="AC91" s="9" t="s">
        <v>558</v>
      </c>
      <c r="AD91" s="9" t="s">
        <v>558</v>
      </c>
      <c r="AI91">
        <v>90</v>
      </c>
      <c r="AJ91" t="s">
        <v>567</v>
      </c>
    </row>
    <row r="92" spans="20:36" x14ac:dyDescent="0.3">
      <c r="T92">
        <v>91</v>
      </c>
      <c r="U92" t="s">
        <v>540</v>
      </c>
      <c r="W92">
        <v>91</v>
      </c>
      <c r="X92" t="s">
        <v>552</v>
      </c>
      <c r="Z92">
        <v>91</v>
      </c>
      <c r="AA92" s="9" t="s">
        <v>557</v>
      </c>
      <c r="AB92" s="9" t="s">
        <v>557</v>
      </c>
      <c r="AC92" s="9" t="s">
        <v>558</v>
      </c>
      <c r="AD92" s="9" t="s">
        <v>558</v>
      </c>
      <c r="AI92">
        <v>91</v>
      </c>
      <c r="AJ92" t="s">
        <v>567</v>
      </c>
    </row>
    <row r="93" spans="20:36" x14ac:dyDescent="0.3">
      <c r="T93">
        <v>92</v>
      </c>
      <c r="U93" t="s">
        <v>541</v>
      </c>
      <c r="W93">
        <v>92</v>
      </c>
      <c r="X93" t="s">
        <v>552</v>
      </c>
      <c r="Z93">
        <v>92</v>
      </c>
      <c r="AA93" s="9" t="s">
        <v>557</v>
      </c>
      <c r="AB93" s="9" t="s">
        <v>557</v>
      </c>
      <c r="AC93" s="9" t="s">
        <v>558</v>
      </c>
      <c r="AD93" s="9" t="s">
        <v>558</v>
      </c>
      <c r="AI93">
        <v>92</v>
      </c>
      <c r="AJ93" t="s">
        <v>567</v>
      </c>
    </row>
    <row r="94" spans="20:36" x14ac:dyDescent="0.3">
      <c r="T94">
        <v>93</v>
      </c>
      <c r="U94" t="s">
        <v>541</v>
      </c>
      <c r="W94">
        <v>93</v>
      </c>
      <c r="X94" t="s">
        <v>552</v>
      </c>
      <c r="Z94">
        <v>93</v>
      </c>
      <c r="AA94" s="9" t="s">
        <v>557</v>
      </c>
      <c r="AB94" s="9" t="s">
        <v>558</v>
      </c>
      <c r="AC94" s="9" t="s">
        <v>558</v>
      </c>
      <c r="AD94" s="9" t="s">
        <v>558</v>
      </c>
      <c r="AI94">
        <v>93</v>
      </c>
      <c r="AJ94" t="s">
        <v>567</v>
      </c>
    </row>
    <row r="95" spans="20:36" x14ac:dyDescent="0.3">
      <c r="T95">
        <v>94</v>
      </c>
      <c r="U95" t="s">
        <v>541</v>
      </c>
      <c r="W95">
        <v>94</v>
      </c>
      <c r="X95" t="s">
        <v>552</v>
      </c>
      <c r="Z95">
        <v>94</v>
      </c>
      <c r="AA95" s="9" t="s">
        <v>557</v>
      </c>
      <c r="AB95" s="9" t="s">
        <v>558</v>
      </c>
      <c r="AC95" s="9" t="s">
        <v>558</v>
      </c>
      <c r="AD95" s="9" t="s">
        <v>558</v>
      </c>
      <c r="AI95">
        <v>94</v>
      </c>
      <c r="AJ95" t="s">
        <v>392</v>
      </c>
    </row>
    <row r="96" spans="20:36" x14ac:dyDescent="0.3">
      <c r="T96">
        <v>95</v>
      </c>
      <c r="U96" t="s">
        <v>541</v>
      </c>
      <c r="W96">
        <v>95</v>
      </c>
      <c r="X96" t="s">
        <v>552</v>
      </c>
      <c r="Z96">
        <v>95</v>
      </c>
      <c r="AA96" s="9" t="s">
        <v>557</v>
      </c>
      <c r="AB96" s="9" t="s">
        <v>558</v>
      </c>
      <c r="AC96" s="9" t="s">
        <v>558</v>
      </c>
      <c r="AD96" s="9" t="s">
        <v>559</v>
      </c>
      <c r="AI96">
        <v>95</v>
      </c>
      <c r="AJ96" t="s">
        <v>392</v>
      </c>
    </row>
    <row r="97" spans="20:36" x14ac:dyDescent="0.3">
      <c r="T97">
        <v>96</v>
      </c>
      <c r="U97" t="s">
        <v>541</v>
      </c>
      <c r="W97">
        <v>96</v>
      </c>
      <c r="X97" t="s">
        <v>552</v>
      </c>
      <c r="Z97">
        <v>96</v>
      </c>
      <c r="AA97" s="9" t="s">
        <v>557</v>
      </c>
      <c r="AB97" s="9" t="s">
        <v>558</v>
      </c>
      <c r="AC97" s="9" t="s">
        <v>558</v>
      </c>
      <c r="AD97" s="9" t="s">
        <v>559</v>
      </c>
      <c r="AI97">
        <v>96</v>
      </c>
      <c r="AJ97" t="s">
        <v>392</v>
      </c>
    </row>
    <row r="98" spans="20:36" x14ac:dyDescent="0.3">
      <c r="T98">
        <v>97</v>
      </c>
      <c r="U98" t="s">
        <v>541</v>
      </c>
      <c r="W98">
        <v>97</v>
      </c>
      <c r="X98" t="s">
        <v>552</v>
      </c>
      <c r="Z98">
        <v>97</v>
      </c>
      <c r="AA98" s="9" t="s">
        <v>558</v>
      </c>
      <c r="AB98" s="9" t="s">
        <v>558</v>
      </c>
      <c r="AC98" s="9" t="s">
        <v>559</v>
      </c>
      <c r="AD98" s="9" t="s">
        <v>559</v>
      </c>
      <c r="AI98">
        <v>97</v>
      </c>
      <c r="AJ98" t="s">
        <v>392</v>
      </c>
    </row>
    <row r="99" spans="20:36" x14ac:dyDescent="0.3">
      <c r="T99">
        <v>98</v>
      </c>
      <c r="U99" t="s">
        <v>541</v>
      </c>
      <c r="W99">
        <v>98</v>
      </c>
      <c r="X99" t="s">
        <v>552</v>
      </c>
      <c r="Z99">
        <v>98</v>
      </c>
      <c r="AA99" s="9" t="s">
        <v>558</v>
      </c>
      <c r="AB99" s="9" t="s">
        <v>558</v>
      </c>
      <c r="AC99" s="9" t="s">
        <v>559</v>
      </c>
      <c r="AD99" s="9" t="s">
        <v>559</v>
      </c>
      <c r="AI99">
        <v>98</v>
      </c>
      <c r="AJ99" t="s">
        <v>392</v>
      </c>
    </row>
    <row r="100" spans="20:36" x14ac:dyDescent="0.3">
      <c r="T100">
        <v>99</v>
      </c>
      <c r="U100" t="s">
        <v>542</v>
      </c>
      <c r="W100">
        <v>99</v>
      </c>
      <c r="X100" t="s">
        <v>552</v>
      </c>
      <c r="Z100">
        <v>99</v>
      </c>
      <c r="AA100" s="9" t="s">
        <v>558</v>
      </c>
      <c r="AB100" s="9" t="s">
        <v>559</v>
      </c>
      <c r="AC100" s="9" t="s">
        <v>559</v>
      </c>
      <c r="AD100" s="9" t="s">
        <v>559</v>
      </c>
      <c r="AI100">
        <v>99</v>
      </c>
      <c r="AJ100" t="s">
        <v>392</v>
      </c>
    </row>
    <row r="101" spans="20:36" x14ac:dyDescent="0.3">
      <c r="T101">
        <v>100</v>
      </c>
      <c r="U101" t="s">
        <v>543</v>
      </c>
      <c r="W101">
        <v>100</v>
      </c>
      <c r="X101" t="s">
        <v>552</v>
      </c>
      <c r="Z101">
        <v>100</v>
      </c>
      <c r="AA101" s="9" t="s">
        <v>559</v>
      </c>
      <c r="AB101" s="9" t="s">
        <v>559</v>
      </c>
      <c r="AC101" s="9" t="s">
        <v>559</v>
      </c>
      <c r="AD101" s="9" t="s">
        <v>559</v>
      </c>
      <c r="AI101">
        <v>100</v>
      </c>
      <c r="AJ101" t="s">
        <v>392</v>
      </c>
    </row>
  </sheetData>
  <phoneticPr fontId="1" type="noConversion"/>
  <pageMargins left="0.7" right="0.7" top="0.75" bottom="0.75" header="0.3" footer="0.3"/>
  <ignoredErrors>
    <ignoredError sqref="AA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5F91-0CE9-4D13-90D3-69D07646752E}">
  <dimension ref="A1:BJ100"/>
  <sheetViews>
    <sheetView workbookViewId="0">
      <selection activeCell="F31" sqref="F31"/>
    </sheetView>
  </sheetViews>
  <sheetFormatPr defaultRowHeight="14.4" x14ac:dyDescent="0.3"/>
  <cols>
    <col min="1" max="1" width="4.21875" customWidth="1"/>
    <col min="2" max="2" width="18" customWidth="1"/>
    <col min="4" max="4" width="16" customWidth="1"/>
    <col min="5" max="5" width="11.33203125" customWidth="1"/>
    <col min="6" max="6" width="26.33203125" customWidth="1"/>
    <col min="7" max="7" width="2.109375" style="1" customWidth="1"/>
    <col min="8" max="8" width="4.21875" style="1" customWidth="1"/>
    <col min="9" max="9" width="16.6640625" customWidth="1"/>
    <col min="11" max="11" width="12.77734375" customWidth="1"/>
    <col min="12" max="12" width="13.77734375" customWidth="1"/>
    <col min="13" max="13" width="8.88671875" style="1"/>
    <col min="18" max="19" width="16.6640625" customWidth="1"/>
    <col min="24" max="24" width="10.77734375" customWidth="1"/>
    <col min="30" max="30" width="8.88671875" style="15"/>
    <col min="32" max="32" width="8.88671875" style="9"/>
    <col min="34" max="34" width="8.88671875" style="9"/>
    <col min="41" max="41" width="14.5546875" bestFit="1" customWidth="1"/>
    <col min="42" max="42" width="10.5546875" customWidth="1"/>
    <col min="44" max="44" width="8.88671875" style="9"/>
    <col min="45" max="45" width="11.44140625" customWidth="1"/>
    <col min="47" max="47" width="8.88671875" style="9"/>
    <col min="51" max="51" width="11.5546875" customWidth="1"/>
    <col min="55" max="55" width="8.88671875" style="9"/>
    <col min="58" max="58" width="25.21875" customWidth="1"/>
    <col min="60" max="60" width="12.77734375" bestFit="1" customWidth="1"/>
    <col min="62" max="62" width="12" customWidth="1"/>
  </cols>
  <sheetData>
    <row r="1" spans="1:62" ht="15" thickBot="1" x14ac:dyDescent="0.35">
      <c r="A1" s="41" t="s">
        <v>156</v>
      </c>
      <c r="B1" s="41" t="s">
        <v>591</v>
      </c>
      <c r="C1" s="42" t="s">
        <v>588</v>
      </c>
      <c r="D1" s="42" t="s">
        <v>589</v>
      </c>
      <c r="E1" s="42" t="s">
        <v>590</v>
      </c>
      <c r="F1" s="42" t="s">
        <v>667</v>
      </c>
      <c r="G1" s="43"/>
      <c r="H1" s="42" t="s">
        <v>156</v>
      </c>
      <c r="I1" s="42" t="s">
        <v>592</v>
      </c>
      <c r="J1" s="42" t="s">
        <v>588</v>
      </c>
      <c r="K1" s="42" t="s">
        <v>594</v>
      </c>
      <c r="L1" s="44" t="s">
        <v>593</v>
      </c>
      <c r="N1" s="1" t="s">
        <v>595</v>
      </c>
      <c r="O1" s="1" t="s">
        <v>588</v>
      </c>
      <c r="P1" s="1" t="s">
        <v>596</v>
      </c>
      <c r="Q1" s="1" t="s">
        <v>597</v>
      </c>
      <c r="R1" s="1" t="s">
        <v>598</v>
      </c>
      <c r="S1" s="1"/>
      <c r="T1" s="1" t="s">
        <v>610</v>
      </c>
      <c r="U1" s="1" t="s">
        <v>610</v>
      </c>
      <c r="V1" s="1"/>
      <c r="W1" s="1"/>
      <c r="X1" s="1" t="s">
        <v>634</v>
      </c>
      <c r="Y1" s="1"/>
      <c r="AC1">
        <v>2</v>
      </c>
      <c r="AD1" s="15" t="s">
        <v>611</v>
      </c>
      <c r="AF1" s="9" t="s">
        <v>555</v>
      </c>
      <c r="AG1">
        <f ca="1">RANDBETWEEN(1,10)+RANDBETWEEN(1,10)</f>
        <v>7</v>
      </c>
      <c r="AH1" s="9" t="s">
        <v>555</v>
      </c>
      <c r="AI1">
        <v>30</v>
      </c>
      <c r="AN1">
        <v>1</v>
      </c>
      <c r="AO1" t="s">
        <v>599</v>
      </c>
      <c r="AP1" t="s">
        <v>608</v>
      </c>
      <c r="AQ1">
        <v>1</v>
      </c>
      <c r="AR1" s="9" t="s">
        <v>555</v>
      </c>
      <c r="AS1" t="s">
        <v>609</v>
      </c>
      <c r="AT1">
        <v>1</v>
      </c>
      <c r="AU1" s="9" t="s">
        <v>555</v>
      </c>
      <c r="AW1" t="s">
        <v>614</v>
      </c>
      <c r="AX1">
        <v>1</v>
      </c>
      <c r="AY1" t="s">
        <v>615</v>
      </c>
      <c r="BA1" t="s">
        <v>633</v>
      </c>
      <c r="BB1">
        <v>1</v>
      </c>
      <c r="BC1" s="9" t="s">
        <v>555</v>
      </c>
      <c r="BE1">
        <v>1</v>
      </c>
      <c r="BF1" t="s">
        <v>635</v>
      </c>
      <c r="BH1" t="s">
        <v>649</v>
      </c>
      <c r="BI1">
        <v>1</v>
      </c>
      <c r="BJ1" t="s">
        <v>650</v>
      </c>
    </row>
    <row r="2" spans="1:62" x14ac:dyDescent="0.3">
      <c r="A2">
        <v>1</v>
      </c>
      <c r="B2" t="str">
        <f ca="1">IF(N2&gt; 70, VLOOKUP(N2,AN1:$AO$100, 2), "")</f>
        <v/>
      </c>
      <c r="C2" t="str">
        <f ca="1">IF(B2="","",VLOOKUP(O2,$AQ$1:$AR$100,2))</f>
        <v/>
      </c>
      <c r="D2" t="str">
        <f ca="1">IF(C2="","", VLOOKUP(P2,$AC$1:$AD$8,2))</f>
        <v/>
      </c>
      <c r="E2" t="str" cm="1">
        <f t="array" aca="1" ref="E2" ca="1">_xlfn.IFS(C2="", "", R2&lt;=VLOOKUP(C2,$AH$1:$AI$5,2),V2, 1=1, "No")</f>
        <v/>
      </c>
      <c r="F2" t="str" cm="1">
        <f t="array" aca="1" ref="F2" ca="1">_xlfn.IFS(E2="", "", E2="No", "",E2= "Talent", VLOOKUP(S2,$BI$1:$BJ$100,2), 1=1, VLOOKUP(X2,$BE$1:$BF$100,2))</f>
        <v/>
      </c>
      <c r="H2" s="4">
        <v>1</v>
      </c>
      <c r="I2" t="str">
        <f ca="1">IF(N2&lt;= 70, VLOOKUP(N2,$AN$1:$AO$100, 2), "")</f>
        <v>Arrows</v>
      </c>
      <c r="J2" t="str">
        <f ca="1">IF(I2="","", VLOOKUP(O2,$AT$1:$AU$100,2))</f>
        <v>+4</v>
      </c>
      <c r="K2">
        <f ca="1">IF(J2="","", VLOOKUP(J2,$AF$1:$AG$5,2))</f>
        <v>8</v>
      </c>
      <c r="L2" t="str" cm="1">
        <f t="array" aca="1" ref="L2" ca="1">_xlfn.IFS(K2="","",R2&lt;=VLOOKUP(J2,$AH$1:$AI$5,2),  VLOOKUP(S2,$AX$1:$AY$100,2), 1=1, "")</f>
        <v/>
      </c>
      <c r="N2" s="1">
        <f ca="1">RANDBETWEEN(1,100)</f>
        <v>14</v>
      </c>
      <c r="O2" s="1">
        <f ca="1">RANDBETWEEN(1,100)</f>
        <v>91</v>
      </c>
      <c r="P2" s="1">
        <f ca="1">RANDBETWEEN(1,4)+T2</f>
        <v>1</v>
      </c>
      <c r="Q2" s="1">
        <f ca="1">RANDBETWEEN(1,100)</f>
        <v>25</v>
      </c>
      <c r="R2" s="1">
        <f ca="1">RANDBETWEEN(1,100)</f>
        <v>38</v>
      </c>
      <c r="S2" s="1">
        <f ca="1">RANDBETWEEN(1,100)</f>
        <v>47</v>
      </c>
      <c r="T2" s="1">
        <f ca="1">IFERROR(INT(C2), 0)</f>
        <v>0</v>
      </c>
      <c r="U2" s="1">
        <f ca="1">IFERROR(INT(J2), 0)</f>
        <v>4</v>
      </c>
      <c r="V2" s="1" t="str">
        <f ca="1">VLOOKUP(W2,$BB$1:$BC$100,2)</f>
        <v>Talent</v>
      </c>
      <c r="W2" s="1">
        <f ca="1">RANDBETWEEN(1,100)</f>
        <v>100</v>
      </c>
      <c r="X2" s="1">
        <f ca="1">RANDBETWEEN(1,100)</f>
        <v>62</v>
      </c>
      <c r="Y2" s="1"/>
      <c r="AC2">
        <v>3</v>
      </c>
      <c r="AD2" s="15" t="s">
        <v>611</v>
      </c>
      <c r="AF2" s="9" t="s">
        <v>556</v>
      </c>
      <c r="AG2">
        <f ca="1">RANDBETWEEN(1,8)+RANDBETWEEN(1,8)</f>
        <v>8</v>
      </c>
      <c r="AH2" s="9" t="s">
        <v>556</v>
      </c>
      <c r="AI2">
        <v>25</v>
      </c>
      <c r="AN2">
        <v>2</v>
      </c>
      <c r="AO2" t="s">
        <v>599</v>
      </c>
      <c r="AQ2">
        <v>2</v>
      </c>
      <c r="AR2" s="9" t="s">
        <v>555</v>
      </c>
      <c r="AT2">
        <v>2</v>
      </c>
      <c r="AU2" s="9" t="s">
        <v>555</v>
      </c>
      <c r="AX2">
        <v>2</v>
      </c>
      <c r="AY2" t="s">
        <v>615</v>
      </c>
      <c r="BB2">
        <v>2</v>
      </c>
      <c r="BC2" s="9" t="s">
        <v>555</v>
      </c>
      <c r="BE2">
        <v>2</v>
      </c>
      <c r="BF2" t="s">
        <v>635</v>
      </c>
      <c r="BI2">
        <v>2</v>
      </c>
      <c r="BJ2" t="s">
        <v>650</v>
      </c>
    </row>
    <row r="3" spans="1:62" x14ac:dyDescent="0.3">
      <c r="A3" s="31">
        <v>2</v>
      </c>
      <c r="B3" s="31" t="str">
        <f ca="1">IF(N3&gt; 70, VLOOKUP(N3,AN2:$AO$100, 2), "")</f>
        <v/>
      </c>
      <c r="C3" s="31" t="str">
        <f t="shared" ref="C3:C20" ca="1" si="0">IF(B3="","",VLOOKUP(O3,$AQ$1:$AR$100,2))</f>
        <v/>
      </c>
      <c r="D3" s="31" t="str">
        <f t="shared" ref="D3:D20" ca="1" si="1">IF(C3="","", VLOOKUP(P3,$AC$1:$AD$8,2))</f>
        <v/>
      </c>
      <c r="E3" s="31" t="str" cm="1">
        <f t="array" aca="1" ref="E3" ca="1">_xlfn.IFS(C3="", "", R3&lt;=VLOOKUP(C3,$AH$1:$AI$5,2),V3, 1=1, "No")</f>
        <v/>
      </c>
      <c r="F3" s="31" t="str" cm="1">
        <f t="array" aca="1" ref="F3" ca="1">_xlfn.IFS(E3="", "", E3="No", "",E3= "Talent", VLOOKUP(S3,$BI$1:$BJ$100,2), 1=1, VLOOKUP(X3,$BE$1:$BF$100,2))</f>
        <v/>
      </c>
      <c r="H3" s="32">
        <v>2</v>
      </c>
      <c r="I3" s="32" t="str">
        <f t="shared" ref="I3:I20" ca="1" si="2">IF(N3&lt;= 70, VLOOKUP(N3,$AN$1:$AO$100, 2), "")</f>
        <v>Quarrels</v>
      </c>
      <c r="J3" s="32" t="str">
        <f t="shared" ref="J3:J20" ca="1" si="3">IF(I3="","", VLOOKUP(O3,$AT$1:$AU$100,2))</f>
        <v>+3</v>
      </c>
      <c r="K3" s="32">
        <f t="shared" ref="K3:K20" ca="1" si="4">IF(J3="","", VLOOKUP(J3,$AF$1:$AG$5,2))</f>
        <v>9</v>
      </c>
      <c r="L3" s="32" t="str" cm="1">
        <f t="array" aca="1" ref="L3" ca="1">_xlfn.IFS(K3="","",R3&lt;=VLOOKUP(J3,$AH$1:$AI$5,2),  VLOOKUP(S3,$AX$1:$AY$100,2), 1=1, "")</f>
        <v/>
      </c>
      <c r="N3" s="1">
        <f t="shared" ref="N3:O21" ca="1" si="5">RANDBETWEEN(1,100)</f>
        <v>38</v>
      </c>
      <c r="O3" s="1">
        <f t="shared" ca="1" si="5"/>
        <v>83</v>
      </c>
      <c r="P3" s="1">
        <f t="shared" ref="P3:P20" ca="1" si="6">RANDBETWEEN(1,4)+T3</f>
        <v>1</v>
      </c>
      <c r="Q3" s="1">
        <f t="shared" ref="Q3:S21" ca="1" si="7">RANDBETWEEN(1,100)</f>
        <v>71</v>
      </c>
      <c r="R3" s="1">
        <f t="shared" ca="1" si="7"/>
        <v>25</v>
      </c>
      <c r="S3" s="1">
        <f t="shared" ca="1" si="7"/>
        <v>98</v>
      </c>
      <c r="T3" s="1">
        <f t="shared" ref="T3:T20" ca="1" si="8">IFERROR(INT(C3), 0)</f>
        <v>0</v>
      </c>
      <c r="U3" s="1">
        <f t="shared" ref="U3:U20" ca="1" si="9">IFERROR(INT(J3), 0)</f>
        <v>3</v>
      </c>
      <c r="V3" s="1" t="str">
        <f t="shared" ref="V3:V20" ca="1" si="10">VLOOKUP(W3,$BB$1:$BC$100,2)</f>
        <v>+1</v>
      </c>
      <c r="W3" s="1">
        <f t="shared" ref="W3:W21" ca="1" si="11">RANDBETWEEN(1,100)</f>
        <v>28</v>
      </c>
      <c r="X3" s="1">
        <f t="shared" ref="X3:X21" ca="1" si="12">RANDBETWEEN(1,100)</f>
        <v>11</v>
      </c>
      <c r="Y3" s="1"/>
      <c r="AC3">
        <v>4</v>
      </c>
      <c r="AD3" s="15" t="s">
        <v>611</v>
      </c>
      <c r="AF3" s="9" t="s">
        <v>557</v>
      </c>
      <c r="AG3">
        <f ca="1">RANDBETWEEN(1,6)+RANDBETWEEN(1,6)</f>
        <v>9</v>
      </c>
      <c r="AH3" s="9" t="s">
        <v>557</v>
      </c>
      <c r="AI3">
        <v>20</v>
      </c>
      <c r="AN3">
        <v>3</v>
      </c>
      <c r="AO3" t="s">
        <v>599</v>
      </c>
      <c r="AQ3">
        <v>3</v>
      </c>
      <c r="AR3" s="9" t="s">
        <v>555</v>
      </c>
      <c r="AT3">
        <v>3</v>
      </c>
      <c r="AU3" s="9" t="s">
        <v>555</v>
      </c>
      <c r="AX3">
        <v>3</v>
      </c>
      <c r="AY3" t="s">
        <v>615</v>
      </c>
      <c r="BB3">
        <v>3</v>
      </c>
      <c r="BC3" s="9" t="s">
        <v>555</v>
      </c>
      <c r="BE3">
        <v>3</v>
      </c>
      <c r="BF3" t="s">
        <v>635</v>
      </c>
      <c r="BI3">
        <v>3</v>
      </c>
      <c r="BJ3" t="s">
        <v>650</v>
      </c>
    </row>
    <row r="4" spans="1:62" x14ac:dyDescent="0.3">
      <c r="A4">
        <v>3</v>
      </c>
      <c r="B4" t="str">
        <f ca="1">IF(N4&gt; 70, VLOOKUP(N4,AN3:$AO$100, 2), "")</f>
        <v/>
      </c>
      <c r="C4" t="str">
        <f t="shared" ca="1" si="0"/>
        <v/>
      </c>
      <c r="D4" t="str">
        <f t="shared" ca="1" si="1"/>
        <v/>
      </c>
      <c r="E4" t="str" cm="1">
        <f t="array" aca="1" ref="E4" ca="1">_xlfn.IFS(C4="", "", R4&lt;=VLOOKUP(C4,$AH$1:$AI$5,2),V4, 1=1, "No")</f>
        <v/>
      </c>
      <c r="F4" t="str" cm="1">
        <f t="array" aca="1" ref="F4" ca="1">_xlfn.IFS(E4="", "", E4="No", "",E4= "Talent", VLOOKUP(S4,$BI$1:$BJ$100,2), 1=1, VLOOKUP(X4,$BE$1:$BF$100,2))</f>
        <v/>
      </c>
      <c r="H4" s="4">
        <v>3</v>
      </c>
      <c r="I4" t="str">
        <f t="shared" ca="1" si="2"/>
        <v>Arrows</v>
      </c>
      <c r="J4" t="str">
        <f t="shared" ca="1" si="3"/>
        <v>+1</v>
      </c>
      <c r="K4">
        <f t="shared" ca="1" si="4"/>
        <v>7</v>
      </c>
      <c r="L4" t="str" cm="1">
        <f t="array" aca="1" ref="L4" ca="1">_xlfn.IFS(K4="","",R4&lt;=VLOOKUP(J4,$AH$1:$AI$5,2),  VLOOKUP(S4,$AX$1:$AY$100,2), 1=1, "")</f>
        <v>Transporting</v>
      </c>
      <c r="N4" s="1">
        <f t="shared" ca="1" si="5"/>
        <v>27</v>
      </c>
      <c r="O4" s="1">
        <f t="shared" ca="1" si="5"/>
        <v>10</v>
      </c>
      <c r="P4" s="1">
        <f t="shared" ca="1" si="6"/>
        <v>2</v>
      </c>
      <c r="Q4" s="1">
        <f t="shared" ca="1" si="7"/>
        <v>93</v>
      </c>
      <c r="R4" s="1">
        <f t="shared" ca="1" si="7"/>
        <v>24</v>
      </c>
      <c r="S4" s="1">
        <f t="shared" ca="1" si="7"/>
        <v>93</v>
      </c>
      <c r="T4" s="1">
        <f t="shared" ca="1" si="8"/>
        <v>0</v>
      </c>
      <c r="U4" s="1">
        <f t="shared" ca="1" si="9"/>
        <v>1</v>
      </c>
      <c r="V4" s="1" t="str">
        <f t="shared" ca="1" si="10"/>
        <v>+3</v>
      </c>
      <c r="W4" s="1">
        <f t="shared" ca="1" si="11"/>
        <v>69</v>
      </c>
      <c r="X4" s="1">
        <f t="shared" ca="1" si="12"/>
        <v>57</v>
      </c>
      <c r="Y4" s="1"/>
      <c r="AC4">
        <v>5</v>
      </c>
      <c r="AD4" s="15" t="s">
        <v>612</v>
      </c>
      <c r="AF4" s="9" t="s">
        <v>558</v>
      </c>
      <c r="AG4">
        <f ca="1">RANDBETWEEN(1,4)+RANDBETWEEN(1,4)</f>
        <v>8</v>
      </c>
      <c r="AH4" s="9" t="s">
        <v>558</v>
      </c>
      <c r="AI4">
        <v>15</v>
      </c>
      <c r="AN4">
        <v>4</v>
      </c>
      <c r="AO4" t="s">
        <v>599</v>
      </c>
      <c r="AQ4">
        <v>4</v>
      </c>
      <c r="AR4" s="9" t="s">
        <v>555</v>
      </c>
      <c r="AT4">
        <v>4</v>
      </c>
      <c r="AU4" s="9" t="s">
        <v>555</v>
      </c>
      <c r="AX4">
        <v>4</v>
      </c>
      <c r="AY4" t="s">
        <v>615</v>
      </c>
      <c r="BB4">
        <v>4</v>
      </c>
      <c r="BC4" s="9" t="s">
        <v>555</v>
      </c>
      <c r="BE4">
        <v>4</v>
      </c>
      <c r="BF4" t="s">
        <v>635</v>
      </c>
      <c r="BI4">
        <v>4</v>
      </c>
      <c r="BJ4" t="s">
        <v>650</v>
      </c>
    </row>
    <row r="5" spans="1:62" x14ac:dyDescent="0.3">
      <c r="A5" s="31">
        <v>4</v>
      </c>
      <c r="B5" s="31" t="str">
        <f ca="1">IF(N5&gt; 70, VLOOKUP(N5,AN4:$AO$100, 2), "")</f>
        <v/>
      </c>
      <c r="C5" s="31" t="str">
        <f t="shared" ca="1" si="0"/>
        <v/>
      </c>
      <c r="D5" s="31" t="str">
        <f t="shared" ca="1" si="1"/>
        <v/>
      </c>
      <c r="E5" s="31" t="str" cm="1">
        <f t="array" aca="1" ref="E5" ca="1">_xlfn.IFS(C5="", "", R5&lt;=VLOOKUP(C5,$AH$1:$AI$5,2),V5, 1=1, "No")</f>
        <v/>
      </c>
      <c r="F5" s="31" t="str" cm="1">
        <f t="array" aca="1" ref="F5" ca="1">_xlfn.IFS(E5="", "", E5="No", "",E5= "Talent", VLOOKUP(S5,$BI$1:$BJ$100,2), 1=1, VLOOKUP(X5,$BE$1:$BF$100,2))</f>
        <v/>
      </c>
      <c r="H5" s="32">
        <v>4</v>
      </c>
      <c r="I5" s="32" t="str">
        <f t="shared" ca="1" si="2"/>
        <v>Arrows</v>
      </c>
      <c r="J5" s="32" t="str">
        <f t="shared" ca="1" si="3"/>
        <v>+3</v>
      </c>
      <c r="K5" s="32">
        <f t="shared" ca="1" si="4"/>
        <v>9</v>
      </c>
      <c r="L5" s="32" t="str" cm="1">
        <f t="array" aca="1" ref="L5" ca="1">_xlfn.IFS(K5="","",R5&lt;=VLOOKUP(J5,$AH$1:$AI$5,2),  VLOOKUP(S5,$AX$1:$AY$100,2), 1=1, "")</f>
        <v/>
      </c>
      <c r="N5" s="1">
        <f t="shared" ca="1" si="5"/>
        <v>11</v>
      </c>
      <c r="O5" s="1">
        <f t="shared" ca="1" si="5"/>
        <v>82</v>
      </c>
      <c r="P5" s="1">
        <f t="shared" ca="1" si="6"/>
        <v>3</v>
      </c>
      <c r="Q5" s="1">
        <f t="shared" ca="1" si="7"/>
        <v>100</v>
      </c>
      <c r="R5" s="1">
        <f t="shared" ca="1" si="7"/>
        <v>75</v>
      </c>
      <c r="S5" s="1">
        <f t="shared" ca="1" si="7"/>
        <v>49</v>
      </c>
      <c r="T5" s="1">
        <f t="shared" ca="1" si="8"/>
        <v>0</v>
      </c>
      <c r="U5" s="1">
        <f t="shared" ca="1" si="9"/>
        <v>3</v>
      </c>
      <c r="V5" s="1" t="str">
        <f t="shared" ca="1" si="10"/>
        <v>+2</v>
      </c>
      <c r="W5" s="1">
        <f t="shared" ca="1" si="11"/>
        <v>35</v>
      </c>
      <c r="X5" s="1">
        <f t="shared" ca="1" si="12"/>
        <v>67</v>
      </c>
      <c r="Y5" s="1"/>
      <c r="AC5">
        <v>6</v>
      </c>
      <c r="AD5" s="15" t="s">
        <v>612</v>
      </c>
      <c r="AF5" s="9" t="s">
        <v>559</v>
      </c>
      <c r="AG5">
        <f ca="1">RANDBETWEEN(1,4)+1</f>
        <v>3</v>
      </c>
      <c r="AH5" s="9" t="s">
        <v>559</v>
      </c>
      <c r="AI5">
        <v>10</v>
      </c>
      <c r="AN5">
        <v>5</v>
      </c>
      <c r="AO5" t="s">
        <v>599</v>
      </c>
      <c r="AQ5">
        <v>5</v>
      </c>
      <c r="AR5" s="9" t="s">
        <v>555</v>
      </c>
      <c r="AT5">
        <v>5</v>
      </c>
      <c r="AU5" s="9" t="s">
        <v>555</v>
      </c>
      <c r="AX5">
        <v>5</v>
      </c>
      <c r="AY5" t="s">
        <v>616</v>
      </c>
      <c r="BB5">
        <v>5</v>
      </c>
      <c r="BC5" s="9" t="s">
        <v>555</v>
      </c>
      <c r="BE5">
        <v>5</v>
      </c>
      <c r="BF5" t="s">
        <v>635</v>
      </c>
      <c r="BI5">
        <v>5</v>
      </c>
      <c r="BJ5" t="s">
        <v>650</v>
      </c>
    </row>
    <row r="6" spans="1:62" x14ac:dyDescent="0.3">
      <c r="A6">
        <v>5</v>
      </c>
      <c r="B6" t="str">
        <f ca="1">IF(N6&gt; 70, VLOOKUP(N6,AN5:$AO$100, 2), "")</f>
        <v>Shortbow</v>
      </c>
      <c r="C6" t="str">
        <f t="shared" ca="1" si="0"/>
        <v>+1</v>
      </c>
      <c r="D6" t="str">
        <f t="shared" ca="1" si="1"/>
        <v>1x</v>
      </c>
      <c r="E6" t="str" cm="1">
        <f t="array" aca="1" ref="E6" ca="1">_xlfn.IFS(C6="", "", R6&lt;=VLOOKUP(C6,$AH$1:$AI$5,2),V6, 1=1, "No")</f>
        <v>No</v>
      </c>
      <c r="F6" t="str" cm="1">
        <f t="array" aca="1" ref="F6" ca="1">_xlfn.IFS(E6="", "", E6="No", "",E6= "Talent", VLOOKUP(S6,$BI$1:$BJ$100,2), 1=1, VLOOKUP(X6,$BE$1:$BF$100,2))</f>
        <v/>
      </c>
      <c r="H6" s="4">
        <v>5</v>
      </c>
      <c r="I6" t="str">
        <f t="shared" ca="1" si="2"/>
        <v/>
      </c>
      <c r="J6" t="str">
        <f t="shared" ca="1" si="3"/>
        <v/>
      </c>
      <c r="K6" t="str">
        <f t="shared" ca="1" si="4"/>
        <v/>
      </c>
      <c r="L6" t="str" cm="1">
        <f t="array" aca="1" ref="L6" ca="1">_xlfn.IFS(K6="","",R6&lt;=VLOOKUP(J6,$AH$1:$AI$5,2),  VLOOKUP(S6,$AX$1:$AY$100,2), 1=1, "")</f>
        <v/>
      </c>
      <c r="N6" s="1">
        <f t="shared" ca="1" si="5"/>
        <v>85</v>
      </c>
      <c r="O6" s="1">
        <f t="shared" ca="1" si="5"/>
        <v>68</v>
      </c>
      <c r="P6" s="1">
        <f t="shared" ca="1" si="6"/>
        <v>2</v>
      </c>
      <c r="Q6" s="1">
        <f t="shared" ca="1" si="7"/>
        <v>57</v>
      </c>
      <c r="R6" s="1">
        <f t="shared" ca="1" si="7"/>
        <v>78</v>
      </c>
      <c r="S6" s="1">
        <f t="shared" ca="1" si="7"/>
        <v>39</v>
      </c>
      <c r="T6" s="1">
        <f t="shared" ca="1" si="8"/>
        <v>1</v>
      </c>
      <c r="U6" s="1">
        <f t="shared" ca="1" si="9"/>
        <v>0</v>
      </c>
      <c r="V6" s="1" t="str">
        <f t="shared" ca="1" si="10"/>
        <v>+2</v>
      </c>
      <c r="W6" s="1">
        <f t="shared" ca="1" si="11"/>
        <v>38</v>
      </c>
      <c r="X6" s="1">
        <f t="shared" ca="1" si="12"/>
        <v>28</v>
      </c>
      <c r="Y6" s="1"/>
      <c r="AC6">
        <v>7</v>
      </c>
      <c r="AD6" s="15" t="s">
        <v>612</v>
      </c>
      <c r="AN6">
        <v>6</v>
      </c>
      <c r="AO6" t="s">
        <v>599</v>
      </c>
      <c r="AQ6">
        <v>6</v>
      </c>
      <c r="AR6" s="9" t="s">
        <v>555</v>
      </c>
      <c r="AT6">
        <v>6</v>
      </c>
      <c r="AU6" s="9" t="s">
        <v>555</v>
      </c>
      <c r="AX6">
        <v>6</v>
      </c>
      <c r="AY6" t="s">
        <v>616</v>
      </c>
      <c r="BB6">
        <v>6</v>
      </c>
      <c r="BC6" s="9" t="s">
        <v>555</v>
      </c>
      <c r="BE6">
        <v>6</v>
      </c>
      <c r="BF6" t="s">
        <v>635</v>
      </c>
      <c r="BI6">
        <v>6</v>
      </c>
      <c r="BJ6" t="s">
        <v>617</v>
      </c>
    </row>
    <row r="7" spans="1:62" x14ac:dyDescent="0.3">
      <c r="A7" s="31">
        <v>6</v>
      </c>
      <c r="B7" s="31" t="str">
        <f ca="1">IF(N7&gt; 70, VLOOKUP(N7,AN6:$AO$100, 2), "")</f>
        <v/>
      </c>
      <c r="C7" s="31" t="str">
        <f t="shared" ca="1" si="0"/>
        <v/>
      </c>
      <c r="D7" s="31" t="str">
        <f t="shared" ca="1" si="1"/>
        <v/>
      </c>
      <c r="E7" s="31" t="str" cm="1">
        <f t="array" aca="1" ref="E7" ca="1">_xlfn.IFS(C7="", "", R7&lt;=VLOOKUP(C7,$AH$1:$AI$5,2),V7, 1=1, "No")</f>
        <v/>
      </c>
      <c r="F7" s="31" t="str" cm="1">
        <f t="array" aca="1" ref="F7" ca="1">_xlfn.IFS(E7="", "", E7="No", "",E7= "Talent", VLOOKUP(S7,$BI$1:$BJ$100,2), 1=1, VLOOKUP(X7,$BE$1:$BF$100,2))</f>
        <v/>
      </c>
      <c r="H7" s="32">
        <v>6</v>
      </c>
      <c r="I7" s="32" t="str">
        <f t="shared" ca="1" si="2"/>
        <v>Arrows</v>
      </c>
      <c r="J7" s="32" t="str">
        <f t="shared" ca="1" si="3"/>
        <v>+3</v>
      </c>
      <c r="K7" s="32">
        <f t="shared" ca="1" si="4"/>
        <v>9</v>
      </c>
      <c r="L7" s="32" t="str" cm="1">
        <f t="array" aca="1" ref="L7" ca="1">_xlfn.IFS(K7="","",R7&lt;=VLOOKUP(J7,$AH$1:$AI$5,2),  VLOOKUP(S7,$AX$1:$AY$100,2), 1=1, "")</f>
        <v/>
      </c>
      <c r="N7" s="1">
        <f t="shared" ca="1" si="5"/>
        <v>9</v>
      </c>
      <c r="O7" s="1">
        <f t="shared" ca="1" si="5"/>
        <v>68</v>
      </c>
      <c r="P7" s="1">
        <f t="shared" ca="1" si="6"/>
        <v>1</v>
      </c>
      <c r="Q7" s="1">
        <f t="shared" ca="1" si="7"/>
        <v>5</v>
      </c>
      <c r="R7" s="1">
        <f t="shared" ca="1" si="7"/>
        <v>30</v>
      </c>
      <c r="S7" s="1">
        <f t="shared" ca="1" si="7"/>
        <v>41</v>
      </c>
      <c r="T7" s="1">
        <f t="shared" ca="1" si="8"/>
        <v>0</v>
      </c>
      <c r="U7" s="1">
        <f t="shared" ca="1" si="9"/>
        <v>3</v>
      </c>
      <c r="V7" s="1" t="str">
        <f t="shared" ca="1" si="10"/>
        <v>+2</v>
      </c>
      <c r="W7" s="1">
        <f t="shared" ca="1" si="11"/>
        <v>37</v>
      </c>
      <c r="X7" s="1">
        <f t="shared" ca="1" si="12"/>
        <v>54</v>
      </c>
      <c r="Y7" s="1"/>
      <c r="AC7">
        <v>8</v>
      </c>
      <c r="AD7" s="15" t="s">
        <v>613</v>
      </c>
      <c r="AN7">
        <v>7</v>
      </c>
      <c r="AO7" t="s">
        <v>599</v>
      </c>
      <c r="AQ7">
        <v>7</v>
      </c>
      <c r="AR7" s="9" t="s">
        <v>555</v>
      </c>
      <c r="AT7">
        <v>7</v>
      </c>
      <c r="AU7" s="9" t="s">
        <v>555</v>
      </c>
      <c r="AX7">
        <v>7</v>
      </c>
      <c r="AY7" t="s">
        <v>616</v>
      </c>
      <c r="BB7">
        <v>7</v>
      </c>
      <c r="BC7" s="9" t="s">
        <v>555</v>
      </c>
      <c r="BE7">
        <v>7</v>
      </c>
      <c r="BF7" t="s">
        <v>636</v>
      </c>
      <c r="BI7">
        <v>7</v>
      </c>
      <c r="BJ7" t="s">
        <v>617</v>
      </c>
    </row>
    <row r="8" spans="1:62" x14ac:dyDescent="0.3">
      <c r="A8">
        <v>7</v>
      </c>
      <c r="B8" t="str">
        <f ca="1">IF(N8&gt; 70, VLOOKUP(N8,AN7:$AO$100, 2), "")</f>
        <v>Sling</v>
      </c>
      <c r="C8" t="str">
        <f t="shared" ca="1" si="0"/>
        <v>+1</v>
      </c>
      <c r="D8" t="str">
        <f t="shared" ca="1" si="1"/>
        <v>1x</v>
      </c>
      <c r="E8" t="str" cm="1">
        <f t="array" aca="1" ref="E8" ca="1">_xlfn.IFS(C8="", "", R8&lt;=VLOOKUP(C8,$AH$1:$AI$5,2),V8, 1=1, "No")</f>
        <v>Talent</v>
      </c>
      <c r="F8" t="str" cm="1">
        <f t="array" aca="1" ref="F8" ca="1">_xlfn.IFS(E8="", "", E8="No", "",E8= "Talent", VLOOKUP(S8,$BI$1:$BJ$100,2), 1=1, VLOOKUP(X8,$BE$1:$BF$100,2))</f>
        <v>Deflecting</v>
      </c>
      <c r="H8" s="4">
        <v>7</v>
      </c>
      <c r="I8" t="str">
        <f t="shared" ca="1" si="2"/>
        <v/>
      </c>
      <c r="J8" t="str">
        <f t="shared" ca="1" si="3"/>
        <v/>
      </c>
      <c r="K8" t="str">
        <f t="shared" ca="1" si="4"/>
        <v/>
      </c>
      <c r="L8" t="str" cm="1">
        <f t="array" aca="1" ref="L8" ca="1">_xlfn.IFS(K8="","",R8&lt;=VLOOKUP(J8,$AH$1:$AI$5,2),  VLOOKUP(S8,$AX$1:$AY$100,2), 1=1, "")</f>
        <v/>
      </c>
      <c r="N8" s="1">
        <f t="shared" ca="1" si="5"/>
        <v>97</v>
      </c>
      <c r="O8" s="1">
        <f t="shared" ca="1" si="5"/>
        <v>12</v>
      </c>
      <c r="P8" s="1">
        <f t="shared" ca="1" si="6"/>
        <v>2</v>
      </c>
      <c r="Q8" s="1">
        <f t="shared" ca="1" si="7"/>
        <v>81</v>
      </c>
      <c r="R8" s="1">
        <f ca="1">RANDBETWEEN(1,100)</f>
        <v>4</v>
      </c>
      <c r="S8" s="1">
        <f ca="1">RANDBETWEEN(1,100)</f>
        <v>24</v>
      </c>
      <c r="T8" s="1">
        <f t="shared" ca="1" si="8"/>
        <v>1</v>
      </c>
      <c r="U8" s="1">
        <f t="shared" ca="1" si="9"/>
        <v>0</v>
      </c>
      <c r="V8" s="1" t="str">
        <f t="shared" ca="1" si="10"/>
        <v>Talent</v>
      </c>
      <c r="W8" s="1">
        <f t="shared" ca="1" si="11"/>
        <v>89</v>
      </c>
      <c r="X8" s="1">
        <f t="shared" ca="1" si="12"/>
        <v>78</v>
      </c>
      <c r="Y8" s="1"/>
      <c r="AC8">
        <v>9</v>
      </c>
      <c r="AD8" s="15" t="s">
        <v>613</v>
      </c>
      <c r="AN8">
        <v>8</v>
      </c>
      <c r="AO8" t="s">
        <v>599</v>
      </c>
      <c r="AQ8">
        <v>8</v>
      </c>
      <c r="AR8" s="9" t="s">
        <v>555</v>
      </c>
      <c r="AT8">
        <v>8</v>
      </c>
      <c r="AU8" s="9" t="s">
        <v>555</v>
      </c>
      <c r="AX8">
        <v>8</v>
      </c>
      <c r="AY8" t="s">
        <v>616</v>
      </c>
      <c r="BB8">
        <v>8</v>
      </c>
      <c r="BC8" s="9" t="s">
        <v>555</v>
      </c>
      <c r="BE8">
        <v>8</v>
      </c>
      <c r="BF8" t="s">
        <v>636</v>
      </c>
      <c r="BI8">
        <v>8</v>
      </c>
      <c r="BJ8" t="s">
        <v>617</v>
      </c>
    </row>
    <row r="9" spans="1:62" x14ac:dyDescent="0.3">
      <c r="A9" s="31">
        <v>8</v>
      </c>
      <c r="B9" s="31" t="str">
        <f ca="1">IF(N9&gt; 70, VLOOKUP(N9,AN8:$AO$100, 2), "")</f>
        <v/>
      </c>
      <c r="C9" s="31" t="str">
        <f t="shared" ca="1" si="0"/>
        <v/>
      </c>
      <c r="D9" s="31" t="str">
        <f t="shared" ca="1" si="1"/>
        <v/>
      </c>
      <c r="E9" s="31" t="str" cm="1">
        <f t="array" aca="1" ref="E9" ca="1">_xlfn.IFS(C9="", "", R9&lt;=VLOOKUP(C9,$AH$1:$AI$5,2),V9, 1=1, "No")</f>
        <v/>
      </c>
      <c r="F9" s="31" t="str" cm="1">
        <f t="array" aca="1" ref="F9" ca="1">_xlfn.IFS(E9="", "", E9="No", "",E9= "Talent", VLOOKUP(S9,$BI$1:$BJ$100,2), 1=1, VLOOKUP(X9,$BE$1:$BF$100,2))</f>
        <v/>
      </c>
      <c r="H9" s="32">
        <v>8</v>
      </c>
      <c r="I9" s="32" t="str">
        <f t="shared" ca="1" si="2"/>
        <v>Sling Stones</v>
      </c>
      <c r="J9" s="32" t="str">
        <f t="shared" ca="1" si="3"/>
        <v>+4</v>
      </c>
      <c r="K9" s="32">
        <f t="shared" ca="1" si="4"/>
        <v>8</v>
      </c>
      <c r="L9" s="32" t="str" cm="1">
        <f t="array" aca="1" ref="L9" ca="1">_xlfn.IFS(K9="","",R9&lt;=VLOOKUP(J9,$AH$1:$AI$5,2),  VLOOKUP(S9,$AX$1:$AY$100,2), 1=1, "")</f>
        <v/>
      </c>
      <c r="N9" s="1">
        <f t="shared" ca="1" si="5"/>
        <v>68</v>
      </c>
      <c r="O9" s="1">
        <f t="shared" ca="1" si="5"/>
        <v>89</v>
      </c>
      <c r="P9" s="1">
        <f t="shared" ca="1" si="6"/>
        <v>1</v>
      </c>
      <c r="Q9" s="1">
        <f t="shared" ca="1" si="7"/>
        <v>49</v>
      </c>
      <c r="R9" s="1">
        <f t="shared" ca="1" si="7"/>
        <v>100</v>
      </c>
      <c r="S9" s="1">
        <f t="shared" ca="1" si="7"/>
        <v>92</v>
      </c>
      <c r="T9" s="1">
        <f t="shared" ca="1" si="8"/>
        <v>0</v>
      </c>
      <c r="U9" s="1">
        <f t="shared" ca="1" si="9"/>
        <v>4</v>
      </c>
      <c r="V9" s="1" t="str">
        <f t="shared" ca="1" si="10"/>
        <v>+1</v>
      </c>
      <c r="W9" s="1">
        <f t="shared" ca="1" si="11"/>
        <v>28</v>
      </c>
      <c r="X9" s="1">
        <f t="shared" ca="1" si="12"/>
        <v>88</v>
      </c>
      <c r="Y9" s="1"/>
      <c r="AN9">
        <v>9</v>
      </c>
      <c r="AO9" t="s">
        <v>599</v>
      </c>
      <c r="AQ9">
        <v>9</v>
      </c>
      <c r="AR9" s="9" t="s">
        <v>555</v>
      </c>
      <c r="AT9">
        <v>9</v>
      </c>
      <c r="AU9" s="9" t="s">
        <v>555</v>
      </c>
      <c r="AX9">
        <v>9</v>
      </c>
      <c r="AY9" t="s">
        <v>616</v>
      </c>
      <c r="BB9">
        <v>9</v>
      </c>
      <c r="BC9" s="9" t="s">
        <v>555</v>
      </c>
      <c r="BE9">
        <v>9</v>
      </c>
      <c r="BF9" t="s">
        <v>636</v>
      </c>
      <c r="BI9">
        <v>9</v>
      </c>
      <c r="BJ9" t="s">
        <v>617</v>
      </c>
    </row>
    <row r="10" spans="1:62" x14ac:dyDescent="0.3">
      <c r="A10">
        <v>9</v>
      </c>
      <c r="B10" t="str">
        <f ca="1">IF(N10&gt; 70, VLOOKUP(N10,AN9:$AO$100, 2), "")</f>
        <v>Light Crossbow</v>
      </c>
      <c r="C10" t="str">
        <f t="shared" ca="1" si="0"/>
        <v>+1</v>
      </c>
      <c r="D10" t="str">
        <f t="shared" ca="1" si="1"/>
        <v>1x</v>
      </c>
      <c r="E10" t="str" cm="1">
        <f t="array" aca="1" ref="E10" ca="1">_xlfn.IFS(C10="", "", R10&lt;=VLOOKUP(C10,$AH$1:$AI$5,2),V10, 1=1, "No")</f>
        <v>Talent</v>
      </c>
      <c r="F10" t="str" cm="1">
        <f t="array" aca="1" ref="F10" ca="1">_xlfn.IFS(E10="", "", E10="No", "",E10= "Talent", VLOOKUP(S10,$BI$1:$BJ$100,2), 1=1, VLOOKUP(X10,$BE$1:$BF$100,2))</f>
        <v>Speeding</v>
      </c>
      <c r="H10" s="4">
        <v>9</v>
      </c>
      <c r="I10" t="str">
        <f t="shared" ca="1" si="2"/>
        <v/>
      </c>
      <c r="J10" t="str">
        <f t="shared" ca="1" si="3"/>
        <v/>
      </c>
      <c r="K10" t="str">
        <f t="shared" ca="1" si="4"/>
        <v/>
      </c>
      <c r="L10" t="str" cm="1">
        <f t="array" aca="1" ref="L10" ca="1">_xlfn.IFS(K10="","",R10&lt;=VLOOKUP(J10,$AH$1:$AI$5,2),  VLOOKUP(S10,$AX$1:$AY$100,2), 1=1, "")</f>
        <v/>
      </c>
      <c r="N10" s="1">
        <f t="shared" ca="1" si="5"/>
        <v>90</v>
      </c>
      <c r="O10" s="1">
        <f t="shared" ca="1" si="5"/>
        <v>41</v>
      </c>
      <c r="P10" s="1">
        <f t="shared" ca="1" si="6"/>
        <v>3</v>
      </c>
      <c r="Q10" s="1">
        <f t="shared" ca="1" si="7"/>
        <v>66</v>
      </c>
      <c r="R10" s="1">
        <f t="shared" ca="1" si="7"/>
        <v>11</v>
      </c>
      <c r="S10" s="1">
        <f t="shared" ca="1" si="7"/>
        <v>88</v>
      </c>
      <c r="T10" s="1">
        <f t="shared" ca="1" si="8"/>
        <v>1</v>
      </c>
      <c r="U10" s="1">
        <f t="shared" ca="1" si="9"/>
        <v>0</v>
      </c>
      <c r="V10" s="1" t="str">
        <f t="shared" ca="1" si="10"/>
        <v>Talent</v>
      </c>
      <c r="W10" s="1">
        <f t="shared" ca="1" si="11"/>
        <v>92</v>
      </c>
      <c r="X10" s="1">
        <f t="shared" ca="1" si="12"/>
        <v>62</v>
      </c>
      <c r="Y10" s="1"/>
      <c r="AN10">
        <v>10</v>
      </c>
      <c r="AO10" t="s">
        <v>599</v>
      </c>
      <c r="AQ10">
        <v>10</v>
      </c>
      <c r="AR10" s="9" t="s">
        <v>555</v>
      </c>
      <c r="AT10">
        <v>10</v>
      </c>
      <c r="AU10" s="9" t="s">
        <v>555</v>
      </c>
      <c r="AX10">
        <v>10</v>
      </c>
      <c r="AY10" t="s">
        <v>617</v>
      </c>
      <c r="BB10">
        <v>10</v>
      </c>
      <c r="BC10" s="9" t="s">
        <v>555</v>
      </c>
      <c r="BE10">
        <v>10</v>
      </c>
      <c r="BF10" t="s">
        <v>637</v>
      </c>
      <c r="BI10">
        <v>10</v>
      </c>
      <c r="BJ10" t="s">
        <v>617</v>
      </c>
    </row>
    <row r="11" spans="1:62" x14ac:dyDescent="0.3">
      <c r="A11" s="31">
        <v>10</v>
      </c>
      <c r="B11" s="31" t="str">
        <f ca="1">IF(N11&gt; 70, VLOOKUP(N11,AN10:$AO$100, 2), "")</f>
        <v/>
      </c>
      <c r="C11" s="31" t="str">
        <f t="shared" ca="1" si="0"/>
        <v/>
      </c>
      <c r="D11" s="31" t="str">
        <f t="shared" ca="1" si="1"/>
        <v/>
      </c>
      <c r="E11" s="31" t="str" cm="1">
        <f t="array" aca="1" ref="E11" ca="1">_xlfn.IFS(C11="", "", R11&lt;=VLOOKUP(C11,$AH$1:$AI$5,2),V11, 1=1, "No")</f>
        <v/>
      </c>
      <c r="F11" s="31" t="str" cm="1">
        <f t="array" aca="1" ref="F11" ca="1">_xlfn.IFS(E11="", "", E11="No", "",E11= "Talent", VLOOKUP(S11,$BI$1:$BJ$100,2), 1=1, VLOOKUP(X11,$BE$1:$BF$100,2))</f>
        <v/>
      </c>
      <c r="H11" s="32">
        <v>10</v>
      </c>
      <c r="I11" s="32" t="str">
        <f t="shared" ca="1" si="2"/>
        <v>Arrows</v>
      </c>
      <c r="J11" s="32" t="str">
        <f t="shared" ca="1" si="3"/>
        <v>+2</v>
      </c>
      <c r="K11" s="32">
        <f t="shared" ca="1" si="4"/>
        <v>8</v>
      </c>
      <c r="L11" s="32" t="str" cm="1">
        <f t="array" aca="1" ref="L11" ca="1">_xlfn.IFS(K11="","",R11&lt;=VLOOKUP(J11,$AH$1:$AI$5,2),  VLOOKUP(S11,$AX$1:$AY$100,2), 1=1, "")</f>
        <v/>
      </c>
      <c r="N11" s="1">
        <f t="shared" ca="1" si="5"/>
        <v>18</v>
      </c>
      <c r="O11" s="1">
        <f t="shared" ca="1" si="5"/>
        <v>45</v>
      </c>
      <c r="P11" s="1">
        <f t="shared" ca="1" si="6"/>
        <v>3</v>
      </c>
      <c r="Q11" s="1">
        <f t="shared" ca="1" si="7"/>
        <v>98</v>
      </c>
      <c r="R11" s="1">
        <f t="shared" ca="1" si="7"/>
        <v>95</v>
      </c>
      <c r="S11" s="1">
        <f t="shared" ca="1" si="7"/>
        <v>62</v>
      </c>
      <c r="T11" s="1">
        <f t="shared" ca="1" si="8"/>
        <v>0</v>
      </c>
      <c r="U11" s="1">
        <f t="shared" ca="1" si="9"/>
        <v>2</v>
      </c>
      <c r="V11" s="1" t="str">
        <f t="shared" ca="1" si="10"/>
        <v>+4</v>
      </c>
      <c r="W11" s="1">
        <f t="shared" ca="1" si="11"/>
        <v>81</v>
      </c>
      <c r="X11" s="1">
        <f t="shared" ca="1" si="12"/>
        <v>53</v>
      </c>
      <c r="Y11" s="1"/>
      <c r="AN11">
        <v>11</v>
      </c>
      <c r="AO11" t="s">
        <v>599</v>
      </c>
      <c r="AQ11">
        <v>11</v>
      </c>
      <c r="AR11" s="9" t="s">
        <v>555</v>
      </c>
      <c r="AT11">
        <v>11</v>
      </c>
      <c r="AU11" s="9" t="s">
        <v>555</v>
      </c>
      <c r="AX11">
        <v>11</v>
      </c>
      <c r="AY11" t="s">
        <v>617</v>
      </c>
      <c r="BB11">
        <v>11</v>
      </c>
      <c r="BC11" s="9" t="s">
        <v>555</v>
      </c>
      <c r="BE11">
        <v>11</v>
      </c>
      <c r="BF11" t="s">
        <v>637</v>
      </c>
      <c r="BI11">
        <v>11</v>
      </c>
      <c r="BJ11" t="s">
        <v>617</v>
      </c>
    </row>
    <row r="12" spans="1:62" x14ac:dyDescent="0.3">
      <c r="A12">
        <v>11</v>
      </c>
      <c r="B12" t="str">
        <f ca="1">IF(N12&gt; 70, VLOOKUP(N12,AN11:$AO$100, 2), "")</f>
        <v/>
      </c>
      <c r="C12" t="str">
        <f t="shared" ca="1" si="0"/>
        <v/>
      </c>
      <c r="D12" t="str">
        <f t="shared" ca="1" si="1"/>
        <v/>
      </c>
      <c r="E12" t="str" cm="1">
        <f t="array" aca="1" ref="E12" ca="1">_xlfn.IFS(C12="", "", R12&lt;=VLOOKUP(C12,$AH$1:$AI$5,2),V12, 1=1, "No")</f>
        <v/>
      </c>
      <c r="F12" t="str" cm="1">
        <f t="array" aca="1" ref="F12" ca="1">_xlfn.IFS(E12="", "", E12="No", "",E12= "Talent", VLOOKUP(S12,$BI$1:$BJ$100,2), 1=1, VLOOKUP(X12,$BE$1:$BF$100,2))</f>
        <v/>
      </c>
      <c r="H12" s="4">
        <v>11</v>
      </c>
      <c r="I12" t="str">
        <f t="shared" ca="1" si="2"/>
        <v>Arrows</v>
      </c>
      <c r="J12" t="str">
        <f t="shared" ca="1" si="3"/>
        <v>+1</v>
      </c>
      <c r="K12">
        <f t="shared" ca="1" si="4"/>
        <v>7</v>
      </c>
      <c r="L12" t="str" cm="1">
        <f t="array" aca="1" ref="L12" ca="1">_xlfn.IFS(K12="","",R12&lt;=VLOOKUP(J12,$AH$1:$AI$5,2),  VLOOKUP(S12,$AX$1:$AY$100,2), 1=1, "")</f>
        <v/>
      </c>
      <c r="N12" s="1">
        <f t="shared" ca="1" si="5"/>
        <v>17</v>
      </c>
      <c r="O12" s="1">
        <f t="shared" ca="1" si="5"/>
        <v>31</v>
      </c>
      <c r="P12" s="1">
        <f t="shared" ca="1" si="6"/>
        <v>1</v>
      </c>
      <c r="Q12" s="1">
        <f t="shared" ca="1" si="7"/>
        <v>83</v>
      </c>
      <c r="R12" s="1">
        <f t="shared" ca="1" si="7"/>
        <v>54</v>
      </c>
      <c r="S12" s="1">
        <f t="shared" ca="1" si="7"/>
        <v>36</v>
      </c>
      <c r="T12" s="1">
        <f t="shared" ca="1" si="8"/>
        <v>0</v>
      </c>
      <c r="U12" s="1">
        <f t="shared" ca="1" si="9"/>
        <v>1</v>
      </c>
      <c r="V12" s="1" t="str">
        <f t="shared" ca="1" si="10"/>
        <v>Talent</v>
      </c>
      <c r="W12" s="1">
        <f t="shared" ca="1" si="11"/>
        <v>89</v>
      </c>
      <c r="X12" s="1">
        <f t="shared" ca="1" si="12"/>
        <v>56</v>
      </c>
      <c r="Y12" s="1"/>
      <c r="AN12">
        <v>12</v>
      </c>
      <c r="AO12" t="s">
        <v>599</v>
      </c>
      <c r="AQ12">
        <v>12</v>
      </c>
      <c r="AR12" s="9" t="s">
        <v>555</v>
      </c>
      <c r="AT12">
        <v>12</v>
      </c>
      <c r="AU12" s="9" t="s">
        <v>555</v>
      </c>
      <c r="AX12">
        <v>12</v>
      </c>
      <c r="AY12" t="s">
        <v>617</v>
      </c>
      <c r="BB12">
        <v>12</v>
      </c>
      <c r="BC12" s="9" t="s">
        <v>555</v>
      </c>
      <c r="BE12">
        <v>12</v>
      </c>
      <c r="BF12" t="s">
        <v>637</v>
      </c>
      <c r="BI12">
        <v>12</v>
      </c>
      <c r="BJ12" t="s">
        <v>617</v>
      </c>
    </row>
    <row r="13" spans="1:62" x14ac:dyDescent="0.3">
      <c r="A13" s="31">
        <v>12</v>
      </c>
      <c r="B13" s="31" t="str">
        <f ca="1">IF(N13&gt; 70, VLOOKUP(N13,AN12:$AO$100, 2), "")</f>
        <v/>
      </c>
      <c r="C13" s="31" t="str">
        <f t="shared" ca="1" si="0"/>
        <v/>
      </c>
      <c r="D13" s="31" t="str">
        <f t="shared" ca="1" si="1"/>
        <v/>
      </c>
      <c r="E13" s="31" t="str" cm="1">
        <f t="array" aca="1" ref="E13" ca="1">_xlfn.IFS(C13="", "", R13&lt;=VLOOKUP(C13,$AH$1:$AI$5,2),V13, 1=1, "No")</f>
        <v/>
      </c>
      <c r="F13" s="31" t="str" cm="1">
        <f t="array" aca="1" ref="F13" ca="1">_xlfn.IFS(E13="", "", E13="No", "",E13= "Talent", VLOOKUP(S13,$BI$1:$BJ$100,2), 1=1, VLOOKUP(X13,$BE$1:$BF$100,2))</f>
        <v/>
      </c>
      <c r="H13" s="32">
        <v>12</v>
      </c>
      <c r="I13" s="32" t="str">
        <f t="shared" ca="1" si="2"/>
        <v>Sling Stones</v>
      </c>
      <c r="J13" s="32" t="str">
        <f t="shared" ca="1" si="3"/>
        <v>+4</v>
      </c>
      <c r="K13" s="32">
        <f t="shared" ca="1" si="4"/>
        <v>8</v>
      </c>
      <c r="L13" s="32" t="str" cm="1">
        <f t="array" aca="1" ref="L13" ca="1">_xlfn.IFS(K13="","",R13&lt;=VLOOKUP(J13,$AH$1:$AI$5,2),  VLOOKUP(S13,$AX$1:$AY$100,2), 1=1, "")</f>
        <v/>
      </c>
      <c r="N13" s="1">
        <f t="shared" ca="1" si="5"/>
        <v>69</v>
      </c>
      <c r="O13" s="1">
        <f t="shared" ca="1" si="5"/>
        <v>91</v>
      </c>
      <c r="P13" s="1">
        <f t="shared" ca="1" si="6"/>
        <v>3</v>
      </c>
      <c r="Q13" s="1">
        <f t="shared" ca="1" si="7"/>
        <v>76</v>
      </c>
      <c r="R13" s="1">
        <f t="shared" ca="1" si="7"/>
        <v>42</v>
      </c>
      <c r="S13" s="1">
        <f t="shared" ca="1" si="7"/>
        <v>86</v>
      </c>
      <c r="T13" s="1">
        <f t="shared" ca="1" si="8"/>
        <v>0</v>
      </c>
      <c r="U13" s="1">
        <f t="shared" ca="1" si="9"/>
        <v>4</v>
      </c>
      <c r="V13" s="1" t="str">
        <f t="shared" ca="1" si="10"/>
        <v>Talent</v>
      </c>
      <c r="W13" s="1">
        <f t="shared" ca="1" si="11"/>
        <v>88</v>
      </c>
      <c r="X13" s="1">
        <f t="shared" ca="1" si="12"/>
        <v>3</v>
      </c>
      <c r="Y13" s="1"/>
      <c r="AN13">
        <v>13</v>
      </c>
      <c r="AO13" t="s">
        <v>599</v>
      </c>
      <c r="AQ13">
        <v>13</v>
      </c>
      <c r="AR13" s="9" t="s">
        <v>555</v>
      </c>
      <c r="AT13">
        <v>13</v>
      </c>
      <c r="AU13" s="9" t="s">
        <v>555</v>
      </c>
      <c r="AX13">
        <v>13</v>
      </c>
      <c r="AY13" t="s">
        <v>617</v>
      </c>
      <c r="BB13">
        <v>13</v>
      </c>
      <c r="BC13" s="9" t="s">
        <v>555</v>
      </c>
      <c r="BE13">
        <v>13</v>
      </c>
      <c r="BF13" t="s">
        <v>637</v>
      </c>
      <c r="BI13">
        <v>13</v>
      </c>
      <c r="BJ13" t="s">
        <v>651</v>
      </c>
    </row>
    <row r="14" spans="1:62" x14ac:dyDescent="0.3">
      <c r="A14">
        <v>13</v>
      </c>
      <c r="B14" t="str">
        <f ca="1">IF(N14&gt; 70, VLOOKUP(N14,AN13:$AO$100, 2), "")</f>
        <v/>
      </c>
      <c r="C14" t="str">
        <f t="shared" ca="1" si="0"/>
        <v/>
      </c>
      <c r="D14" t="str">
        <f t="shared" ca="1" si="1"/>
        <v/>
      </c>
      <c r="E14" t="str" cm="1">
        <f t="array" aca="1" ref="E14" ca="1">_xlfn.IFS(C14="", "", R14&lt;=VLOOKUP(C14,$AH$1:$AI$5,2),V14, 1=1, "No")</f>
        <v/>
      </c>
      <c r="F14" t="str" cm="1">
        <f t="array" aca="1" ref="F14" ca="1">_xlfn.IFS(E14="", "", E14="No", "",E14= "Talent", VLOOKUP(S14,$BI$1:$BJ$100,2), 1=1, VLOOKUP(X14,$BE$1:$BF$100,2))</f>
        <v/>
      </c>
      <c r="H14" s="4">
        <v>13</v>
      </c>
      <c r="I14" t="str">
        <f t="shared" ca="1" si="2"/>
        <v>Arrows</v>
      </c>
      <c r="J14" t="str">
        <f t="shared" ca="1" si="3"/>
        <v>+3</v>
      </c>
      <c r="K14">
        <f t="shared" ca="1" si="4"/>
        <v>9</v>
      </c>
      <c r="L14" t="str" cm="1">
        <f t="array" aca="1" ref="L14" ca="1">_xlfn.IFS(K14="","",R14&lt;=VLOOKUP(J14,$AH$1:$AI$5,2),  VLOOKUP(S14,$AX$1:$AY$100,2), 1=1, "")</f>
        <v/>
      </c>
      <c r="N14" s="1">
        <f t="shared" ca="1" si="5"/>
        <v>30</v>
      </c>
      <c r="O14" s="1">
        <f t="shared" ca="1" si="5"/>
        <v>75</v>
      </c>
      <c r="P14" s="1">
        <f t="shared" ca="1" si="6"/>
        <v>3</v>
      </c>
      <c r="Q14" s="1">
        <f t="shared" ca="1" si="7"/>
        <v>12</v>
      </c>
      <c r="R14" s="1">
        <f t="shared" ca="1" si="7"/>
        <v>46</v>
      </c>
      <c r="S14" s="1">
        <f t="shared" ca="1" si="7"/>
        <v>43</v>
      </c>
      <c r="T14" s="1">
        <f t="shared" ca="1" si="8"/>
        <v>0</v>
      </c>
      <c r="U14" s="1">
        <f t="shared" ca="1" si="9"/>
        <v>3</v>
      </c>
      <c r="V14" s="1" t="str">
        <f t="shared" ca="1" si="10"/>
        <v>+1</v>
      </c>
      <c r="W14" s="1">
        <f t="shared" ca="1" si="11"/>
        <v>26</v>
      </c>
      <c r="X14" s="1">
        <f t="shared" ca="1" si="12"/>
        <v>38</v>
      </c>
      <c r="Y14" s="1"/>
      <c r="AN14">
        <v>14</v>
      </c>
      <c r="AO14" t="s">
        <v>599</v>
      </c>
      <c r="AQ14">
        <v>14</v>
      </c>
      <c r="AR14" s="9" t="s">
        <v>555</v>
      </c>
      <c r="AT14">
        <v>14</v>
      </c>
      <c r="AU14" s="9" t="s">
        <v>555</v>
      </c>
      <c r="AX14">
        <v>14</v>
      </c>
      <c r="AY14" t="s">
        <v>617</v>
      </c>
      <c r="BB14">
        <v>14</v>
      </c>
      <c r="BC14" s="9" t="s">
        <v>555</v>
      </c>
      <c r="BE14">
        <v>14</v>
      </c>
      <c r="BF14" t="s">
        <v>637</v>
      </c>
      <c r="BI14">
        <v>14</v>
      </c>
      <c r="BJ14" t="s">
        <v>651</v>
      </c>
    </row>
    <row r="15" spans="1:62" x14ac:dyDescent="0.3">
      <c r="A15" s="31">
        <v>14</v>
      </c>
      <c r="B15" s="31" t="str">
        <f ca="1">IF(N15&gt; 70, VLOOKUP(N15,AN14:$AO$100, 2), "")</f>
        <v/>
      </c>
      <c r="C15" s="31" t="str">
        <f t="shared" ca="1" si="0"/>
        <v/>
      </c>
      <c r="D15" s="31" t="str">
        <f t="shared" ca="1" si="1"/>
        <v/>
      </c>
      <c r="E15" s="31" t="str" cm="1">
        <f t="array" aca="1" ref="E15" ca="1">_xlfn.IFS(C15="", "", R15&lt;=VLOOKUP(C15,$AH$1:$AI$5,2),V15, 1=1, "No")</f>
        <v/>
      </c>
      <c r="F15" s="31" t="str" cm="1">
        <f t="array" aca="1" ref="F15" ca="1">_xlfn.IFS(E15="", "", E15="No", "",E15= "Talent", VLOOKUP(S15,$BI$1:$BJ$100,2), 1=1, VLOOKUP(X15,$BE$1:$BF$100,2))</f>
        <v/>
      </c>
      <c r="H15" s="32">
        <v>14</v>
      </c>
      <c r="I15" s="32" t="str">
        <f t="shared" ca="1" si="2"/>
        <v>Arrows</v>
      </c>
      <c r="J15" s="32" t="str">
        <f t="shared" ca="1" si="3"/>
        <v>+4</v>
      </c>
      <c r="K15" s="32">
        <f t="shared" ca="1" si="4"/>
        <v>8</v>
      </c>
      <c r="L15" s="32" t="str" cm="1">
        <f t="array" aca="1" ref="L15" ca="1">_xlfn.IFS(K15="","",R15&lt;=VLOOKUP(J15,$AH$1:$AI$5,2),  VLOOKUP(S15,$AX$1:$AY$100,2), 1=1, "")</f>
        <v/>
      </c>
      <c r="N15" s="1">
        <f t="shared" ca="1" si="5"/>
        <v>13</v>
      </c>
      <c r="O15" s="1">
        <f t="shared" ca="1" si="5"/>
        <v>85</v>
      </c>
      <c r="P15" s="1">
        <f t="shared" ca="1" si="6"/>
        <v>2</v>
      </c>
      <c r="Q15" s="1">
        <f t="shared" ca="1" si="7"/>
        <v>81</v>
      </c>
      <c r="R15" s="1">
        <f t="shared" ca="1" si="7"/>
        <v>52</v>
      </c>
      <c r="S15" s="1">
        <f t="shared" ca="1" si="7"/>
        <v>33</v>
      </c>
      <c r="T15" s="1">
        <f t="shared" ca="1" si="8"/>
        <v>0</v>
      </c>
      <c r="U15" s="1">
        <f t="shared" ca="1" si="9"/>
        <v>4</v>
      </c>
      <c r="V15" s="1" t="str">
        <f t="shared" ca="1" si="10"/>
        <v>+1</v>
      </c>
      <c r="W15" s="1">
        <f t="shared" ca="1" si="11"/>
        <v>21</v>
      </c>
      <c r="X15" s="1">
        <f t="shared" ca="1" si="12"/>
        <v>8</v>
      </c>
      <c r="Y15" s="1"/>
      <c r="AN15">
        <v>15</v>
      </c>
      <c r="AO15" t="s">
        <v>599</v>
      </c>
      <c r="AQ15">
        <v>15</v>
      </c>
      <c r="AR15" s="9" t="s">
        <v>555</v>
      </c>
      <c r="AT15">
        <v>15</v>
      </c>
      <c r="AU15" s="9" t="s">
        <v>555</v>
      </c>
      <c r="AX15">
        <v>15</v>
      </c>
      <c r="AY15" t="s">
        <v>167</v>
      </c>
      <c r="BB15">
        <v>15</v>
      </c>
      <c r="BC15" s="9" t="s">
        <v>555</v>
      </c>
      <c r="BE15">
        <v>15</v>
      </c>
      <c r="BF15" t="s">
        <v>637</v>
      </c>
      <c r="BI15">
        <v>15</v>
      </c>
      <c r="BJ15" t="s">
        <v>651</v>
      </c>
    </row>
    <row r="16" spans="1:62" x14ac:dyDescent="0.3">
      <c r="A16">
        <v>15</v>
      </c>
      <c r="B16" t="str">
        <f ca="1">IF(N16&gt; 70, VLOOKUP(N16,AN15:$AO$100, 2), "")</f>
        <v>Longbow</v>
      </c>
      <c r="C16" t="str">
        <f t="shared" ca="1" si="0"/>
        <v>+1</v>
      </c>
      <c r="D16" t="str">
        <f t="shared" ca="1" si="1"/>
        <v>1x</v>
      </c>
      <c r="E16" t="str" cm="1">
        <f t="array" aca="1" ref="E16" ca="1">_xlfn.IFS(C16="", "", R16&lt;=VLOOKUP(C16,$AH$1:$AI$5,2),V16, 1=1, "No")</f>
        <v>No</v>
      </c>
      <c r="F16" t="str" cm="1">
        <f t="array" aca="1" ref="F16" ca="1">_xlfn.IFS(E16="", "", E16="No", "",E16= "Talent", VLOOKUP(S16,$BI$1:$BJ$100,2), 1=1, VLOOKUP(X16,$BE$1:$BF$100,2))</f>
        <v/>
      </c>
      <c r="H16" s="4">
        <v>15</v>
      </c>
      <c r="I16" t="str">
        <f t="shared" ca="1" si="2"/>
        <v/>
      </c>
      <c r="J16" t="str">
        <f t="shared" ca="1" si="3"/>
        <v/>
      </c>
      <c r="K16" t="str">
        <f t="shared" ca="1" si="4"/>
        <v/>
      </c>
      <c r="L16" t="str" cm="1">
        <f t="array" aca="1" ref="L16" ca="1">_xlfn.IFS(K16="","",R16&lt;=VLOOKUP(J16,$AH$1:$AI$5,2),  VLOOKUP(S16,$AX$1:$AY$100,2), 1=1, "")</f>
        <v/>
      </c>
      <c r="N16" s="1">
        <f t="shared" ca="1" si="5"/>
        <v>75</v>
      </c>
      <c r="O16" s="1">
        <f t="shared" ca="1" si="5"/>
        <v>13</v>
      </c>
      <c r="P16" s="1">
        <f t="shared" ca="1" si="6"/>
        <v>4</v>
      </c>
      <c r="Q16" s="1">
        <f t="shared" ca="1" si="7"/>
        <v>79</v>
      </c>
      <c r="R16" s="1">
        <f t="shared" ca="1" si="7"/>
        <v>44</v>
      </c>
      <c r="S16" s="1">
        <f t="shared" ca="1" si="7"/>
        <v>55</v>
      </c>
      <c r="T16" s="1">
        <f t="shared" ca="1" si="8"/>
        <v>1</v>
      </c>
      <c r="U16" s="1">
        <f t="shared" ca="1" si="9"/>
        <v>0</v>
      </c>
      <c r="V16" s="1" t="str">
        <f t="shared" ca="1" si="10"/>
        <v>+1</v>
      </c>
      <c r="W16" s="1">
        <f t="shared" ca="1" si="11"/>
        <v>1</v>
      </c>
      <c r="X16" s="1">
        <f t="shared" ca="1" si="12"/>
        <v>15</v>
      </c>
      <c r="Y16" s="1"/>
      <c r="AN16">
        <v>16</v>
      </c>
      <c r="AO16" t="s">
        <v>599</v>
      </c>
      <c r="AQ16">
        <v>16</v>
      </c>
      <c r="AR16" s="9" t="s">
        <v>555</v>
      </c>
      <c r="AT16">
        <v>16</v>
      </c>
      <c r="AU16" s="9" t="s">
        <v>555</v>
      </c>
      <c r="AX16">
        <v>16</v>
      </c>
      <c r="AY16" t="s">
        <v>167</v>
      </c>
      <c r="BB16">
        <v>16</v>
      </c>
      <c r="BC16" s="9" t="s">
        <v>555</v>
      </c>
      <c r="BE16">
        <v>16</v>
      </c>
      <c r="BF16" t="s">
        <v>638</v>
      </c>
      <c r="BI16">
        <v>16</v>
      </c>
      <c r="BJ16" t="s">
        <v>651</v>
      </c>
    </row>
    <row r="17" spans="1:62" x14ac:dyDescent="0.3">
      <c r="A17" s="31">
        <v>16</v>
      </c>
      <c r="B17" s="31" t="str">
        <f ca="1">IF(N17&gt; 70, VLOOKUP(N17,AN16:$AO$100, 2), "")</f>
        <v/>
      </c>
      <c r="C17" s="31" t="str">
        <f t="shared" ca="1" si="0"/>
        <v/>
      </c>
      <c r="D17" s="31" t="str">
        <f t="shared" ca="1" si="1"/>
        <v/>
      </c>
      <c r="E17" s="31" t="str" cm="1">
        <f t="array" aca="1" ref="E17" ca="1">_xlfn.IFS(C17="", "", R17&lt;=VLOOKUP(C17,$AH$1:$AI$5,2),V17, 1=1, "No")</f>
        <v/>
      </c>
      <c r="F17" s="31" t="str" cm="1">
        <f t="array" aca="1" ref="F17" ca="1">_xlfn.IFS(E17="", "", E17="No", "",E17= "Talent", VLOOKUP(S17,$BI$1:$BJ$100,2), 1=1, VLOOKUP(X17,$BE$1:$BF$100,2))</f>
        <v/>
      </c>
      <c r="H17" s="32">
        <v>16</v>
      </c>
      <c r="I17" s="32" t="str">
        <f t="shared" ca="1" si="2"/>
        <v>Quarrels</v>
      </c>
      <c r="J17" s="32" t="str">
        <f t="shared" ca="1" si="3"/>
        <v>+3</v>
      </c>
      <c r="K17" s="32">
        <f t="shared" ca="1" si="4"/>
        <v>9</v>
      </c>
      <c r="L17" s="32" t="str" cm="1">
        <f t="array" aca="1" ref="L17" ca="1">_xlfn.IFS(K17="","",R17&lt;=VLOOKUP(J17,$AH$1:$AI$5,2),  VLOOKUP(S17,$AX$1:$AY$100,2), 1=1, "")</f>
        <v/>
      </c>
      <c r="N17" s="1">
        <f t="shared" ca="1" si="5"/>
        <v>56</v>
      </c>
      <c r="O17" s="1">
        <f t="shared" ca="1" si="5"/>
        <v>77</v>
      </c>
      <c r="P17" s="1">
        <f t="shared" ca="1" si="6"/>
        <v>1</v>
      </c>
      <c r="Q17" s="1">
        <f t="shared" ca="1" si="7"/>
        <v>95</v>
      </c>
      <c r="R17" s="1">
        <f t="shared" ca="1" si="7"/>
        <v>22</v>
      </c>
      <c r="S17" s="1">
        <f t="shared" ca="1" si="7"/>
        <v>53</v>
      </c>
      <c r="T17" s="1">
        <f t="shared" ca="1" si="8"/>
        <v>0</v>
      </c>
      <c r="U17" s="1">
        <f t="shared" ca="1" si="9"/>
        <v>3</v>
      </c>
      <c r="V17" s="1" t="str">
        <f t="shared" ca="1" si="10"/>
        <v>+2</v>
      </c>
      <c r="W17" s="1">
        <f t="shared" ca="1" si="11"/>
        <v>56</v>
      </c>
      <c r="X17" s="1">
        <f t="shared" ca="1" si="12"/>
        <v>16</v>
      </c>
      <c r="Y17" s="1"/>
      <c r="AN17">
        <v>17</v>
      </c>
      <c r="AO17" t="s">
        <v>599</v>
      </c>
      <c r="AQ17">
        <v>17</v>
      </c>
      <c r="AR17" s="9" t="s">
        <v>555</v>
      </c>
      <c r="AT17">
        <v>17</v>
      </c>
      <c r="AU17" s="9" t="s">
        <v>555</v>
      </c>
      <c r="AX17">
        <v>17</v>
      </c>
      <c r="AY17" t="s">
        <v>167</v>
      </c>
      <c r="BB17">
        <v>17</v>
      </c>
      <c r="BC17" s="9" t="s">
        <v>555</v>
      </c>
      <c r="BE17">
        <v>17</v>
      </c>
      <c r="BF17" t="s">
        <v>638</v>
      </c>
      <c r="BI17">
        <v>17</v>
      </c>
      <c r="BJ17" t="s">
        <v>652</v>
      </c>
    </row>
    <row r="18" spans="1:62" x14ac:dyDescent="0.3">
      <c r="A18">
        <v>17</v>
      </c>
      <c r="B18" t="str">
        <f ca="1">IF(N18&gt; 70, VLOOKUP(N18,AN17:$AO$100, 2), "")</f>
        <v/>
      </c>
      <c r="C18" t="str">
        <f t="shared" ca="1" si="0"/>
        <v/>
      </c>
      <c r="D18" t="str">
        <f t="shared" ca="1" si="1"/>
        <v/>
      </c>
      <c r="E18" t="str" cm="1">
        <f t="array" aca="1" ref="E18" ca="1">_xlfn.IFS(C18="", "", R18&lt;=VLOOKUP(C18,$AH$1:$AI$5,2),V18, 1=1, "No")</f>
        <v/>
      </c>
      <c r="F18" t="str" cm="1">
        <f t="array" aca="1" ref="F18" ca="1">_xlfn.IFS(E18="", "", E18="No", "",E18= "Talent", VLOOKUP(S18,$BI$1:$BJ$100,2), 1=1, VLOOKUP(X18,$BE$1:$BF$100,2))</f>
        <v/>
      </c>
      <c r="H18" s="4">
        <v>17</v>
      </c>
      <c r="I18" t="str">
        <f t="shared" ca="1" si="2"/>
        <v>Sling Stones</v>
      </c>
      <c r="J18" t="str">
        <f t="shared" ca="1" si="3"/>
        <v>+1</v>
      </c>
      <c r="K18">
        <f t="shared" ca="1" si="4"/>
        <v>7</v>
      </c>
      <c r="L18" t="str" cm="1">
        <f t="array" aca="1" ref="L18" ca="1">_xlfn.IFS(K18="","",R18&lt;=VLOOKUP(J18,$AH$1:$AI$5,2),  VLOOKUP(S18,$AX$1:$AY$100,2), 1=1, "")</f>
        <v>Curing</v>
      </c>
      <c r="N18" s="1">
        <f t="shared" ca="1" si="5"/>
        <v>66</v>
      </c>
      <c r="O18" s="1">
        <f t="shared" ca="1" si="5"/>
        <v>26</v>
      </c>
      <c r="P18" s="1">
        <f t="shared" ca="1" si="6"/>
        <v>4</v>
      </c>
      <c r="Q18" s="1">
        <f t="shared" ca="1" si="7"/>
        <v>37</v>
      </c>
      <c r="R18" s="1">
        <f t="shared" ca="1" si="7"/>
        <v>21</v>
      </c>
      <c r="S18" s="1">
        <f t="shared" ca="1" si="7"/>
        <v>30</v>
      </c>
      <c r="T18" s="1">
        <f t="shared" ca="1" si="8"/>
        <v>0</v>
      </c>
      <c r="U18" s="1">
        <f t="shared" ca="1" si="9"/>
        <v>1</v>
      </c>
      <c r="V18" s="1" t="str">
        <f t="shared" ca="1" si="10"/>
        <v>+3</v>
      </c>
      <c r="W18" s="1">
        <f t="shared" ca="1" si="11"/>
        <v>61</v>
      </c>
      <c r="X18" s="1">
        <f t="shared" ca="1" si="12"/>
        <v>38</v>
      </c>
      <c r="Y18" s="1"/>
      <c r="AN18">
        <v>18</v>
      </c>
      <c r="AO18" t="s">
        <v>599</v>
      </c>
      <c r="AQ18">
        <v>18</v>
      </c>
      <c r="AR18" s="9" t="s">
        <v>555</v>
      </c>
      <c r="AT18">
        <v>18</v>
      </c>
      <c r="AU18" s="9" t="s">
        <v>555</v>
      </c>
      <c r="AX18">
        <v>18</v>
      </c>
      <c r="AY18" t="s">
        <v>167</v>
      </c>
      <c r="BB18">
        <v>18</v>
      </c>
      <c r="BC18" s="9" t="s">
        <v>555</v>
      </c>
      <c r="BE18">
        <v>18</v>
      </c>
      <c r="BF18" t="s">
        <v>638</v>
      </c>
      <c r="BI18">
        <v>18</v>
      </c>
      <c r="BJ18" t="s">
        <v>652</v>
      </c>
    </row>
    <row r="19" spans="1:62" x14ac:dyDescent="0.3">
      <c r="A19" s="31">
        <v>18</v>
      </c>
      <c r="B19" s="31" t="str">
        <f ca="1">IF(N19&gt; 70, VLOOKUP(N19,AN18:$AO$100, 2), "")</f>
        <v/>
      </c>
      <c r="C19" s="31" t="str">
        <f t="shared" ca="1" si="0"/>
        <v/>
      </c>
      <c r="D19" s="31" t="str">
        <f t="shared" ca="1" si="1"/>
        <v/>
      </c>
      <c r="E19" s="31" t="str" cm="1">
        <f t="array" aca="1" ref="E19" ca="1">_xlfn.IFS(C19="", "", R19&lt;=VLOOKUP(C19,$AH$1:$AI$5,2),V19, 1=1, "No")</f>
        <v/>
      </c>
      <c r="F19" s="31" t="str" cm="1">
        <f t="array" aca="1" ref="F19" ca="1">_xlfn.IFS(E19="", "", E19="No", "",E19= "Talent", VLOOKUP(S19,$BI$1:$BJ$100,2), 1=1, VLOOKUP(X19,$BE$1:$BF$100,2))</f>
        <v/>
      </c>
      <c r="H19" s="32">
        <v>18</v>
      </c>
      <c r="I19" s="32" t="str">
        <f t="shared" ca="1" si="2"/>
        <v>Quarrels</v>
      </c>
      <c r="J19" s="32" t="str">
        <f t="shared" ca="1" si="3"/>
        <v>+1</v>
      </c>
      <c r="K19" s="32">
        <f t="shared" ca="1" si="4"/>
        <v>7</v>
      </c>
      <c r="L19" s="32" t="str" cm="1">
        <f t="array" aca="1" ref="L19" ca="1">_xlfn.IFS(K19="","",R19&lt;=VLOOKUP(J19,$AH$1:$AI$5,2),  VLOOKUP(S19,$AX$1:$AY$100,2), 1=1, "")</f>
        <v>Screaming</v>
      </c>
      <c r="N19" s="1">
        <f t="shared" ca="1" si="5"/>
        <v>49</v>
      </c>
      <c r="O19" s="1">
        <f t="shared" ca="1" si="5"/>
        <v>13</v>
      </c>
      <c r="P19" s="1">
        <f t="shared" ca="1" si="6"/>
        <v>2</v>
      </c>
      <c r="Q19" s="1">
        <f t="shared" ca="1" si="7"/>
        <v>82</v>
      </c>
      <c r="R19" s="1">
        <f t="shared" ca="1" si="7"/>
        <v>26</v>
      </c>
      <c r="S19" s="1">
        <f t="shared" ca="1" si="7"/>
        <v>66</v>
      </c>
      <c r="T19" s="1">
        <f t="shared" ca="1" si="8"/>
        <v>0</v>
      </c>
      <c r="U19" s="1">
        <f t="shared" ca="1" si="9"/>
        <v>1</v>
      </c>
      <c r="V19" s="1" t="str">
        <f t="shared" ca="1" si="10"/>
        <v>+1</v>
      </c>
      <c r="W19" s="1">
        <f t="shared" ca="1" si="11"/>
        <v>4</v>
      </c>
      <c r="X19" s="1">
        <f t="shared" ca="1" si="12"/>
        <v>70</v>
      </c>
      <c r="Y19" s="1"/>
      <c r="AN19">
        <v>19</v>
      </c>
      <c r="AO19" t="s">
        <v>599</v>
      </c>
      <c r="AQ19">
        <v>19</v>
      </c>
      <c r="AR19" s="9" t="s">
        <v>555</v>
      </c>
      <c r="AT19">
        <v>19</v>
      </c>
      <c r="AU19" s="9" t="s">
        <v>555</v>
      </c>
      <c r="AX19">
        <v>19</v>
      </c>
      <c r="AY19" t="s">
        <v>167</v>
      </c>
      <c r="BB19">
        <v>19</v>
      </c>
      <c r="BC19" s="9" t="s">
        <v>555</v>
      </c>
      <c r="BE19">
        <v>19</v>
      </c>
      <c r="BF19" t="s">
        <v>638</v>
      </c>
      <c r="BI19">
        <v>19</v>
      </c>
      <c r="BJ19" t="s">
        <v>652</v>
      </c>
    </row>
    <row r="20" spans="1:62" x14ac:dyDescent="0.3">
      <c r="A20">
        <v>19</v>
      </c>
      <c r="B20" t="str">
        <f ca="1">IF(N20&gt; 70, VLOOKUP(N20,AN19:$AO$100, 2), "")</f>
        <v/>
      </c>
      <c r="C20" t="str">
        <f t="shared" ca="1" si="0"/>
        <v/>
      </c>
      <c r="D20" t="str">
        <f t="shared" ca="1" si="1"/>
        <v/>
      </c>
      <c r="E20" t="str" cm="1">
        <f t="array" aca="1" ref="E20" ca="1">_xlfn.IFS(C20="", "", R20&lt;=VLOOKUP(C20,$AH$1:$AI$5,2),V20, 1=1, "No")</f>
        <v/>
      </c>
      <c r="F20" t="str" cm="1">
        <f t="array" aca="1" ref="F20" ca="1">_xlfn.IFS(E20="", "", E20="No", "",E20= "Talent", VLOOKUP(S20,$BI$1:$BJ$100,2), 1=1, VLOOKUP(X20,$BE$1:$BF$100,2))</f>
        <v/>
      </c>
      <c r="H20" s="4">
        <v>19</v>
      </c>
      <c r="I20" t="str">
        <f t="shared" ca="1" si="2"/>
        <v>Sling Stones</v>
      </c>
      <c r="J20" t="str">
        <f t="shared" ca="1" si="3"/>
        <v>+1</v>
      </c>
      <c r="K20">
        <f t="shared" ca="1" si="4"/>
        <v>7</v>
      </c>
      <c r="L20" t="str" cm="1">
        <f t="array" aca="1" ref="L20" ca="1">_xlfn.IFS(K20="","",R20&lt;=VLOOKUP(J20,$AH$1:$AI$5,2),  VLOOKUP(S20,$AX$1:$AY$100,2), 1=1, "")</f>
        <v/>
      </c>
      <c r="N20" s="1">
        <f t="shared" ca="1" si="5"/>
        <v>67</v>
      </c>
      <c r="O20" s="1">
        <f t="shared" ca="1" si="5"/>
        <v>14</v>
      </c>
      <c r="P20" s="1">
        <f t="shared" ca="1" si="6"/>
        <v>4</v>
      </c>
      <c r="Q20" s="1">
        <f t="shared" ca="1" si="7"/>
        <v>57</v>
      </c>
      <c r="R20" s="1">
        <f t="shared" ca="1" si="7"/>
        <v>93</v>
      </c>
      <c r="S20" s="1">
        <f t="shared" ca="1" si="7"/>
        <v>6</v>
      </c>
      <c r="T20" s="1">
        <f t="shared" ca="1" si="8"/>
        <v>0</v>
      </c>
      <c r="U20" s="1">
        <f t="shared" ca="1" si="9"/>
        <v>1</v>
      </c>
      <c r="V20" s="1" t="str">
        <f t="shared" ca="1" si="10"/>
        <v>+1</v>
      </c>
      <c r="W20" s="1">
        <f t="shared" ca="1" si="11"/>
        <v>20</v>
      </c>
      <c r="X20" s="1">
        <f t="shared" ca="1" si="12"/>
        <v>49</v>
      </c>
      <c r="Y20" s="1"/>
      <c r="AN20">
        <v>20</v>
      </c>
      <c r="AO20" t="s">
        <v>599</v>
      </c>
      <c r="AQ20">
        <v>20</v>
      </c>
      <c r="AR20" s="9" t="s">
        <v>555</v>
      </c>
      <c r="AT20">
        <v>20</v>
      </c>
      <c r="AU20" s="9" t="s">
        <v>555</v>
      </c>
      <c r="AX20">
        <v>20</v>
      </c>
      <c r="AY20" t="s">
        <v>167</v>
      </c>
      <c r="BB20">
        <v>20</v>
      </c>
      <c r="BC20" s="9" t="s">
        <v>555</v>
      </c>
      <c r="BE20">
        <v>20</v>
      </c>
      <c r="BF20" t="s">
        <v>638</v>
      </c>
      <c r="BI20">
        <v>20</v>
      </c>
      <c r="BJ20" t="s">
        <v>652</v>
      </c>
    </row>
    <row r="21" spans="1:62" x14ac:dyDescent="0.3">
      <c r="A21" s="31">
        <v>20</v>
      </c>
      <c r="B21" s="31" t="str">
        <f ca="1">IF(N21&gt; 70, VLOOKUP(N21,AN20:$AO$100, 2), "")</f>
        <v/>
      </c>
      <c r="C21" s="31" t="str">
        <f t="shared" ref="C21" ca="1" si="13">IF(B21="","",VLOOKUP(O21,$AQ$1:$AR$100,2))</f>
        <v/>
      </c>
      <c r="D21" s="31" t="str">
        <f t="shared" ref="D21" ca="1" si="14">IF(C21="","", VLOOKUP(P21,$AC$1:$AD$8,2))</f>
        <v/>
      </c>
      <c r="E21" s="31" t="str" cm="1">
        <f t="array" aca="1" ref="E21" ca="1">_xlfn.IFS(C21="", "", R21&lt;=VLOOKUP(C21,$AH$1:$AI$5,2),V21, 1=1, "No")</f>
        <v/>
      </c>
      <c r="F21" s="31" t="str" cm="1">
        <f t="array" aca="1" ref="F21" ca="1">_xlfn.IFS(E21="", "", E21="No", "",E21= "Talent", VLOOKUP(S21,$BI$1:$BJ$100,2), 1=1, VLOOKUP(X21,$BE$1:$BF$100,2))</f>
        <v/>
      </c>
      <c r="H21" s="32">
        <v>20</v>
      </c>
      <c r="I21" s="45" t="str">
        <f t="shared" ref="I21" ca="1" si="15">IF(N21&lt;= 70, VLOOKUP(N21,$AN$1:$AO$100, 2), "")</f>
        <v>Sling Stones</v>
      </c>
      <c r="J21" s="45" t="str">
        <f t="shared" ref="J21" ca="1" si="16">IF(I21="","", VLOOKUP(O21,$AT$1:$AU$100,2))</f>
        <v>+1</v>
      </c>
      <c r="K21" s="45">
        <f t="shared" ref="K21" ca="1" si="17">IF(J21="","", VLOOKUP(J21,$AF$1:$AG$5,2))</f>
        <v>7</v>
      </c>
      <c r="L21" s="45" t="str" cm="1">
        <f t="array" aca="1" ref="L21" ca="1">_xlfn.IFS(K21="","",R21&lt;=VLOOKUP(J21,$AH$1:$AI$5,2),  VLOOKUP(S21,$AX$1:$AY$100,2), 1=1, "")</f>
        <v>Speaking</v>
      </c>
      <c r="N21" s="1">
        <f t="shared" ca="1" si="5"/>
        <v>63</v>
      </c>
      <c r="O21" s="1">
        <f t="shared" ca="1" si="5"/>
        <v>36</v>
      </c>
      <c r="P21" s="1">
        <f t="shared" ref="P21" ca="1" si="18">RANDBETWEEN(1,4)+T21</f>
        <v>2</v>
      </c>
      <c r="Q21" s="1">
        <f t="shared" ca="1" si="7"/>
        <v>38</v>
      </c>
      <c r="R21" s="1">
        <f t="shared" ca="1" si="7"/>
        <v>27</v>
      </c>
      <c r="S21" s="1">
        <f t="shared" ca="1" si="7"/>
        <v>82</v>
      </c>
      <c r="T21" s="1">
        <f t="shared" ref="T21" ca="1" si="19">IFERROR(INT(C21), 0)</f>
        <v>0</v>
      </c>
      <c r="U21" s="1">
        <f t="shared" ref="U21" ca="1" si="20">IFERROR(INT(J21), 0)</f>
        <v>1</v>
      </c>
      <c r="V21" s="1" t="str">
        <f t="shared" ref="V21" ca="1" si="21">VLOOKUP(W21,$BB$1:$BC$100,2)</f>
        <v>+2</v>
      </c>
      <c r="W21" s="1">
        <f t="shared" ca="1" si="11"/>
        <v>37</v>
      </c>
      <c r="X21" s="1">
        <f t="shared" ca="1" si="12"/>
        <v>57</v>
      </c>
      <c r="Y21" s="1"/>
      <c r="AN21">
        <v>21</v>
      </c>
      <c r="AO21" t="s">
        <v>599</v>
      </c>
      <c r="AQ21">
        <v>21</v>
      </c>
      <c r="AR21" s="9" t="s">
        <v>555</v>
      </c>
      <c r="AT21">
        <v>21</v>
      </c>
      <c r="AU21" s="9" t="s">
        <v>555</v>
      </c>
      <c r="AX21">
        <v>21</v>
      </c>
      <c r="AY21" t="s">
        <v>167</v>
      </c>
      <c r="BB21">
        <v>21</v>
      </c>
      <c r="BC21" s="9" t="s">
        <v>555</v>
      </c>
      <c r="BE21">
        <v>21</v>
      </c>
      <c r="BF21" t="s">
        <v>638</v>
      </c>
      <c r="BI21">
        <v>21</v>
      </c>
      <c r="BJ21" t="s">
        <v>652</v>
      </c>
    </row>
    <row r="22" spans="1:62" x14ac:dyDescent="0.3">
      <c r="A22" s="1"/>
      <c r="B22" s="1"/>
      <c r="C22" s="1"/>
      <c r="D22" s="1"/>
      <c r="E22" s="1"/>
      <c r="F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N22">
        <v>22</v>
      </c>
      <c r="AO22" t="s">
        <v>599</v>
      </c>
      <c r="AQ22">
        <v>22</v>
      </c>
      <c r="AR22" s="9" t="s">
        <v>555</v>
      </c>
      <c r="AT22">
        <v>22</v>
      </c>
      <c r="AU22" s="9" t="s">
        <v>555</v>
      </c>
      <c r="AX22">
        <v>22</v>
      </c>
      <c r="AY22" t="s">
        <v>618</v>
      </c>
      <c r="BB22">
        <v>22</v>
      </c>
      <c r="BC22" s="9" t="s">
        <v>555</v>
      </c>
      <c r="BE22">
        <v>22</v>
      </c>
      <c r="BF22" t="s">
        <v>638</v>
      </c>
      <c r="BI22">
        <v>22</v>
      </c>
      <c r="BJ22" t="s">
        <v>652</v>
      </c>
    </row>
    <row r="23" spans="1:62" x14ac:dyDescent="0.3">
      <c r="A23" s="1"/>
      <c r="B23" s="1"/>
      <c r="C23" s="1"/>
      <c r="D23" s="1"/>
      <c r="E23" s="1"/>
      <c r="F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N23">
        <v>23</v>
      </c>
      <c r="AO23" t="s">
        <v>599</v>
      </c>
      <c r="AQ23">
        <v>23</v>
      </c>
      <c r="AR23" s="9" t="s">
        <v>555</v>
      </c>
      <c r="AT23">
        <v>23</v>
      </c>
      <c r="AU23" s="9" t="s">
        <v>555</v>
      </c>
      <c r="AX23">
        <v>23</v>
      </c>
      <c r="AY23" t="s">
        <v>618</v>
      </c>
      <c r="BB23">
        <v>23</v>
      </c>
      <c r="BC23" s="9" t="s">
        <v>555</v>
      </c>
      <c r="BE23">
        <v>23</v>
      </c>
      <c r="BF23" t="s">
        <v>638</v>
      </c>
      <c r="BI23">
        <v>23</v>
      </c>
      <c r="BJ23" t="s">
        <v>652</v>
      </c>
    </row>
    <row r="24" spans="1:62" x14ac:dyDescent="0.3">
      <c r="A24" s="1"/>
      <c r="B24" s="1"/>
      <c r="C24" s="1"/>
      <c r="D24" s="1"/>
      <c r="E24" s="1"/>
      <c r="F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N24">
        <v>24</v>
      </c>
      <c r="AO24" t="s">
        <v>599</v>
      </c>
      <c r="AQ24">
        <v>24</v>
      </c>
      <c r="AR24" s="9" t="s">
        <v>555</v>
      </c>
      <c r="AT24">
        <v>24</v>
      </c>
      <c r="AU24" s="9" t="s">
        <v>555</v>
      </c>
      <c r="AX24">
        <v>24</v>
      </c>
      <c r="AY24" t="s">
        <v>618</v>
      </c>
      <c r="BB24">
        <v>24</v>
      </c>
      <c r="BC24" s="9" t="s">
        <v>555</v>
      </c>
      <c r="BE24">
        <v>24</v>
      </c>
      <c r="BF24" t="s">
        <v>638</v>
      </c>
      <c r="BI24">
        <v>24</v>
      </c>
      <c r="BJ24" t="s">
        <v>653</v>
      </c>
    </row>
    <row r="25" spans="1:62" x14ac:dyDescent="0.3">
      <c r="A25" s="1"/>
      <c r="B25" s="1"/>
      <c r="C25" s="1"/>
      <c r="D25" s="1"/>
      <c r="E25" s="1"/>
      <c r="F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N25">
        <v>25</v>
      </c>
      <c r="AO25" t="s">
        <v>599</v>
      </c>
      <c r="AQ25">
        <v>25</v>
      </c>
      <c r="AR25" s="9" t="s">
        <v>555</v>
      </c>
      <c r="AT25">
        <v>25</v>
      </c>
      <c r="AU25" s="9" t="s">
        <v>555</v>
      </c>
      <c r="AX25">
        <v>25</v>
      </c>
      <c r="AY25" t="s">
        <v>618</v>
      </c>
      <c r="BB25">
        <v>25</v>
      </c>
      <c r="BC25" s="9" t="s">
        <v>555</v>
      </c>
      <c r="BE25">
        <v>25</v>
      </c>
      <c r="BF25" t="s">
        <v>639</v>
      </c>
      <c r="BI25">
        <v>25</v>
      </c>
      <c r="BJ25" t="s">
        <v>653</v>
      </c>
    </row>
    <row r="26" spans="1:62" x14ac:dyDescent="0.3">
      <c r="A26" s="1"/>
      <c r="B26" s="1"/>
      <c r="C26" s="1"/>
      <c r="D26" s="1"/>
      <c r="E26" s="1"/>
      <c r="F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N26">
        <v>26</v>
      </c>
      <c r="AO26" t="s">
        <v>599</v>
      </c>
      <c r="AQ26">
        <v>26</v>
      </c>
      <c r="AR26" s="9" t="s">
        <v>555</v>
      </c>
      <c r="AT26">
        <v>26</v>
      </c>
      <c r="AU26" s="9" t="s">
        <v>555</v>
      </c>
      <c r="AX26">
        <v>26</v>
      </c>
      <c r="AY26" t="s">
        <v>618</v>
      </c>
      <c r="BB26">
        <v>26</v>
      </c>
      <c r="BC26" s="9" t="s">
        <v>555</v>
      </c>
      <c r="BE26">
        <v>26</v>
      </c>
      <c r="BF26" t="s">
        <v>639</v>
      </c>
      <c r="BI26">
        <v>26</v>
      </c>
      <c r="BJ26" t="s">
        <v>654</v>
      </c>
    </row>
    <row r="27" spans="1:62" x14ac:dyDescent="0.3">
      <c r="A27" s="1"/>
      <c r="B27" s="1"/>
      <c r="C27" s="1"/>
      <c r="D27" s="1"/>
      <c r="E27" s="1"/>
      <c r="F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N27">
        <v>27</v>
      </c>
      <c r="AO27" t="s">
        <v>599</v>
      </c>
      <c r="AQ27">
        <v>27</v>
      </c>
      <c r="AR27" s="9" t="s">
        <v>555</v>
      </c>
      <c r="AT27">
        <v>27</v>
      </c>
      <c r="AU27" s="9" t="s">
        <v>555</v>
      </c>
      <c r="AX27">
        <v>27</v>
      </c>
      <c r="AY27" t="s">
        <v>618</v>
      </c>
      <c r="BB27">
        <v>27</v>
      </c>
      <c r="BC27" s="9" t="s">
        <v>555</v>
      </c>
      <c r="BE27">
        <v>27</v>
      </c>
      <c r="BF27" t="s">
        <v>639</v>
      </c>
      <c r="BI27">
        <v>27</v>
      </c>
      <c r="BJ27" t="s">
        <v>654</v>
      </c>
    </row>
    <row r="28" spans="1:62" x14ac:dyDescent="0.3">
      <c r="A28" s="1"/>
      <c r="B28" s="1"/>
      <c r="C28" s="1"/>
      <c r="D28" s="1"/>
      <c r="E28" s="1"/>
      <c r="F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N28">
        <v>28</v>
      </c>
      <c r="AO28" t="s">
        <v>599</v>
      </c>
      <c r="AQ28">
        <v>28</v>
      </c>
      <c r="AR28" s="9" t="s">
        <v>555</v>
      </c>
      <c r="AT28">
        <v>28</v>
      </c>
      <c r="AU28" s="9" t="s">
        <v>555</v>
      </c>
      <c r="AX28">
        <v>28</v>
      </c>
      <c r="AY28" t="s">
        <v>618</v>
      </c>
      <c r="BB28">
        <v>28</v>
      </c>
      <c r="BC28" s="9" t="s">
        <v>555</v>
      </c>
      <c r="BE28">
        <v>28</v>
      </c>
      <c r="BF28" t="s">
        <v>639</v>
      </c>
      <c r="BI28">
        <v>28</v>
      </c>
      <c r="BJ28" t="s">
        <v>655</v>
      </c>
    </row>
    <row r="29" spans="1:62" x14ac:dyDescent="0.3">
      <c r="A29" s="1"/>
      <c r="B29" s="1"/>
      <c r="C29" s="1"/>
      <c r="D29" s="1"/>
      <c r="E29" s="1"/>
      <c r="F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N29">
        <v>29</v>
      </c>
      <c r="AO29" t="s">
        <v>599</v>
      </c>
      <c r="AQ29">
        <v>29</v>
      </c>
      <c r="AR29" s="9" t="s">
        <v>555</v>
      </c>
      <c r="AT29">
        <v>29</v>
      </c>
      <c r="AU29" s="9" t="s">
        <v>555</v>
      </c>
      <c r="AX29">
        <v>29</v>
      </c>
      <c r="AY29" t="s">
        <v>618</v>
      </c>
      <c r="BB29">
        <v>29</v>
      </c>
      <c r="BC29" s="9" t="s">
        <v>555</v>
      </c>
      <c r="BE29">
        <v>29</v>
      </c>
      <c r="BF29" t="s">
        <v>639</v>
      </c>
      <c r="BI29">
        <v>29</v>
      </c>
      <c r="BJ29" t="s">
        <v>655</v>
      </c>
    </row>
    <row r="30" spans="1:62" x14ac:dyDescent="0.3">
      <c r="A30" s="1"/>
      <c r="B30" s="1"/>
      <c r="C30" s="1"/>
      <c r="D30" s="1"/>
      <c r="E30" s="1"/>
      <c r="F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N30">
        <v>30</v>
      </c>
      <c r="AO30" t="s">
        <v>599</v>
      </c>
      <c r="AQ30">
        <v>30</v>
      </c>
      <c r="AR30" s="9" t="s">
        <v>555</v>
      </c>
      <c r="AT30">
        <v>30</v>
      </c>
      <c r="AU30" s="9" t="s">
        <v>555</v>
      </c>
      <c r="AX30">
        <v>30</v>
      </c>
      <c r="AY30" t="s">
        <v>618</v>
      </c>
      <c r="BB30">
        <v>30</v>
      </c>
      <c r="BC30" s="9" t="s">
        <v>555</v>
      </c>
      <c r="BE30">
        <v>30</v>
      </c>
      <c r="BF30" t="s">
        <v>639</v>
      </c>
      <c r="BI30">
        <v>30</v>
      </c>
      <c r="BJ30" t="s">
        <v>655</v>
      </c>
    </row>
    <row r="31" spans="1:62" x14ac:dyDescent="0.3">
      <c r="A31" s="1"/>
      <c r="B31" s="1"/>
      <c r="C31" s="1"/>
      <c r="D31" s="1"/>
      <c r="E31" s="1"/>
      <c r="F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N31">
        <v>31</v>
      </c>
      <c r="AO31" t="s">
        <v>599</v>
      </c>
      <c r="AQ31">
        <v>31</v>
      </c>
      <c r="AR31" s="9" t="s">
        <v>555</v>
      </c>
      <c r="AT31">
        <v>31</v>
      </c>
      <c r="AU31" s="9" t="s">
        <v>555</v>
      </c>
      <c r="AX31">
        <v>31</v>
      </c>
      <c r="AY31" t="s">
        <v>618</v>
      </c>
      <c r="BB31">
        <v>31</v>
      </c>
      <c r="BC31" s="9" t="s">
        <v>555</v>
      </c>
      <c r="BE31">
        <v>31</v>
      </c>
      <c r="BF31" t="s">
        <v>639</v>
      </c>
      <c r="BI31">
        <v>31</v>
      </c>
      <c r="BJ31" t="s">
        <v>655</v>
      </c>
    </row>
    <row r="32" spans="1:62" x14ac:dyDescent="0.3">
      <c r="A32" s="1"/>
      <c r="B32" s="1"/>
      <c r="C32" s="1"/>
      <c r="D32" s="1"/>
      <c r="E32" s="1"/>
      <c r="F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N32">
        <v>32</v>
      </c>
      <c r="AO32" t="s">
        <v>599</v>
      </c>
      <c r="AQ32">
        <v>32</v>
      </c>
      <c r="AR32" s="9" t="s">
        <v>555</v>
      </c>
      <c r="AT32">
        <v>32</v>
      </c>
      <c r="AU32" s="9" t="s">
        <v>555</v>
      </c>
      <c r="AX32">
        <v>32</v>
      </c>
      <c r="AY32" t="s">
        <v>619</v>
      </c>
      <c r="BB32">
        <v>32</v>
      </c>
      <c r="BC32" s="9" t="s">
        <v>555</v>
      </c>
      <c r="BE32">
        <v>32</v>
      </c>
      <c r="BF32" t="s">
        <v>639</v>
      </c>
      <c r="BI32">
        <v>32</v>
      </c>
      <c r="BJ32" t="s">
        <v>655</v>
      </c>
    </row>
    <row r="33" spans="1:62" x14ac:dyDescent="0.3">
      <c r="A33" s="1"/>
      <c r="B33" s="1"/>
      <c r="C33" s="1"/>
      <c r="D33" s="1"/>
      <c r="E33" s="1"/>
      <c r="F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N33">
        <v>33</v>
      </c>
      <c r="AO33" t="s">
        <v>599</v>
      </c>
      <c r="AQ33">
        <v>33</v>
      </c>
      <c r="AR33" s="9" t="s">
        <v>555</v>
      </c>
      <c r="AT33">
        <v>33</v>
      </c>
      <c r="AU33" s="9" t="s">
        <v>555</v>
      </c>
      <c r="AX33">
        <v>33</v>
      </c>
      <c r="AY33" t="s">
        <v>619</v>
      </c>
      <c r="BB33">
        <v>33</v>
      </c>
      <c r="BC33" s="9" t="s">
        <v>555</v>
      </c>
      <c r="BE33">
        <v>33</v>
      </c>
      <c r="BF33" t="s">
        <v>639</v>
      </c>
      <c r="BI33">
        <v>33</v>
      </c>
      <c r="BJ33" t="s">
        <v>656</v>
      </c>
    </row>
    <row r="34" spans="1:62" x14ac:dyDescent="0.3">
      <c r="A34" s="1"/>
      <c r="B34" s="1"/>
      <c r="C34" s="1"/>
      <c r="D34" s="1"/>
      <c r="E34" s="1"/>
      <c r="F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N34">
        <v>34</v>
      </c>
      <c r="AO34" t="s">
        <v>599</v>
      </c>
      <c r="AQ34">
        <v>34</v>
      </c>
      <c r="AR34" s="9" t="s">
        <v>555</v>
      </c>
      <c r="AT34">
        <v>34</v>
      </c>
      <c r="AU34" s="9" t="s">
        <v>555</v>
      </c>
      <c r="AX34">
        <v>34</v>
      </c>
      <c r="AY34" t="s">
        <v>619</v>
      </c>
      <c r="BB34">
        <v>34</v>
      </c>
      <c r="BC34" s="9" t="s">
        <v>556</v>
      </c>
      <c r="BE34">
        <v>34</v>
      </c>
      <c r="BF34" t="s">
        <v>639</v>
      </c>
      <c r="BI34">
        <v>34</v>
      </c>
      <c r="BJ34" t="s">
        <v>656</v>
      </c>
    </row>
    <row r="35" spans="1:62" x14ac:dyDescent="0.3">
      <c r="A35" s="1"/>
      <c r="B35" s="1"/>
      <c r="C35" s="1"/>
      <c r="D35" s="1"/>
      <c r="E35" s="1"/>
      <c r="F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N35">
        <v>35</v>
      </c>
      <c r="AO35" t="s">
        <v>599</v>
      </c>
      <c r="AQ35">
        <v>35</v>
      </c>
      <c r="AR35" s="9" t="s">
        <v>555</v>
      </c>
      <c r="AT35">
        <v>35</v>
      </c>
      <c r="AU35" s="9" t="s">
        <v>555</v>
      </c>
      <c r="AX35">
        <v>35</v>
      </c>
      <c r="AY35" t="s">
        <v>620</v>
      </c>
      <c r="BB35">
        <v>35</v>
      </c>
      <c r="BC35" s="9" t="s">
        <v>556</v>
      </c>
      <c r="BE35">
        <v>35</v>
      </c>
      <c r="BF35" t="s">
        <v>639</v>
      </c>
      <c r="BI35">
        <v>35</v>
      </c>
      <c r="BJ35" t="s">
        <v>656</v>
      </c>
    </row>
    <row r="36" spans="1:62" x14ac:dyDescent="0.3">
      <c r="A36" s="1"/>
      <c r="B36" s="1"/>
      <c r="C36" s="1"/>
      <c r="D36" s="1"/>
      <c r="E36" s="1"/>
      <c r="F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N36">
        <v>36</v>
      </c>
      <c r="AO36" t="s">
        <v>599</v>
      </c>
      <c r="AQ36">
        <v>36</v>
      </c>
      <c r="AR36" s="9" t="s">
        <v>555</v>
      </c>
      <c r="AT36">
        <v>36</v>
      </c>
      <c r="AU36" s="9" t="s">
        <v>555</v>
      </c>
      <c r="AX36">
        <v>36</v>
      </c>
      <c r="AY36" t="s">
        <v>620</v>
      </c>
      <c r="BB36">
        <v>36</v>
      </c>
      <c r="BC36" s="9" t="s">
        <v>556</v>
      </c>
      <c r="BE36">
        <v>36</v>
      </c>
      <c r="BF36" t="s">
        <v>639</v>
      </c>
      <c r="BI36">
        <v>36</v>
      </c>
      <c r="BJ36" t="s">
        <v>656</v>
      </c>
    </row>
    <row r="37" spans="1:62" x14ac:dyDescent="0.3">
      <c r="A37" s="1"/>
      <c r="B37" s="1"/>
      <c r="C37" s="1"/>
      <c r="D37" s="1"/>
      <c r="E37" s="1"/>
      <c r="F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N37">
        <v>37</v>
      </c>
      <c r="AO37" t="s">
        <v>599</v>
      </c>
      <c r="AQ37">
        <v>37</v>
      </c>
      <c r="AR37" s="9" t="s">
        <v>555</v>
      </c>
      <c r="AT37">
        <v>37</v>
      </c>
      <c r="AU37" s="9" t="s">
        <v>555</v>
      </c>
      <c r="AX37">
        <v>37</v>
      </c>
      <c r="AY37" t="s">
        <v>620</v>
      </c>
      <c r="BB37">
        <v>37</v>
      </c>
      <c r="BC37" s="9" t="s">
        <v>556</v>
      </c>
      <c r="BE37">
        <v>37</v>
      </c>
      <c r="BF37" t="s">
        <v>640</v>
      </c>
      <c r="BI37">
        <v>37</v>
      </c>
      <c r="BJ37" t="s">
        <v>656</v>
      </c>
    </row>
    <row r="38" spans="1:62" x14ac:dyDescent="0.3">
      <c r="A38" s="1"/>
      <c r="B38" s="1"/>
      <c r="C38" s="1"/>
      <c r="D38" s="1"/>
      <c r="E38" s="1"/>
      <c r="F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N38">
        <v>38</v>
      </c>
      <c r="AO38" t="s">
        <v>600</v>
      </c>
      <c r="AQ38">
        <v>38</v>
      </c>
      <c r="AR38" s="9" t="s">
        <v>555</v>
      </c>
      <c r="AT38">
        <v>38</v>
      </c>
      <c r="AU38" s="9" t="s">
        <v>555</v>
      </c>
      <c r="AX38">
        <v>38</v>
      </c>
      <c r="AY38" t="s">
        <v>620</v>
      </c>
      <c r="BB38">
        <v>38</v>
      </c>
      <c r="BC38" s="9" t="s">
        <v>556</v>
      </c>
      <c r="BE38">
        <v>38</v>
      </c>
      <c r="BF38" t="s">
        <v>640</v>
      </c>
      <c r="BI38">
        <v>38</v>
      </c>
      <c r="BJ38" t="s">
        <v>656</v>
      </c>
    </row>
    <row r="39" spans="1:62" x14ac:dyDescent="0.3">
      <c r="A39" s="1"/>
      <c r="B39" s="1"/>
      <c r="C39" s="1"/>
      <c r="D39" s="1"/>
      <c r="E39" s="1"/>
      <c r="F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N39">
        <v>39</v>
      </c>
      <c r="AO39" t="s">
        <v>600</v>
      </c>
      <c r="AQ39">
        <v>39</v>
      </c>
      <c r="AR39" s="9" t="s">
        <v>555</v>
      </c>
      <c r="AT39">
        <v>39</v>
      </c>
      <c r="AU39" s="9" t="s">
        <v>555</v>
      </c>
      <c r="AX39">
        <v>39</v>
      </c>
      <c r="AY39" t="s">
        <v>178</v>
      </c>
      <c r="BB39">
        <v>39</v>
      </c>
      <c r="BC39" s="9" t="s">
        <v>556</v>
      </c>
      <c r="BE39">
        <v>39</v>
      </c>
      <c r="BF39" t="s">
        <v>640</v>
      </c>
      <c r="BI39">
        <v>39</v>
      </c>
      <c r="BJ39" t="s">
        <v>657</v>
      </c>
    </row>
    <row r="40" spans="1:62" x14ac:dyDescent="0.3">
      <c r="A40" s="1"/>
      <c r="B40" s="1"/>
      <c r="C40" s="1"/>
      <c r="D40" s="1"/>
      <c r="E40" s="1"/>
      <c r="F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N40">
        <v>40</v>
      </c>
      <c r="AO40" t="s">
        <v>600</v>
      </c>
      <c r="AQ40">
        <v>40</v>
      </c>
      <c r="AR40" s="9" t="s">
        <v>555</v>
      </c>
      <c r="AT40">
        <v>40</v>
      </c>
      <c r="AU40" s="9" t="s">
        <v>555</v>
      </c>
      <c r="AX40">
        <v>40</v>
      </c>
      <c r="AY40" t="s">
        <v>178</v>
      </c>
      <c r="BB40">
        <v>40</v>
      </c>
      <c r="BC40" s="9" t="s">
        <v>556</v>
      </c>
      <c r="BE40">
        <v>40</v>
      </c>
      <c r="BF40" t="s">
        <v>640</v>
      </c>
      <c r="BI40">
        <v>40</v>
      </c>
      <c r="BJ40" t="s">
        <v>657</v>
      </c>
    </row>
    <row r="41" spans="1:62" x14ac:dyDescent="0.3">
      <c r="A41" s="1"/>
      <c r="B41" s="1"/>
      <c r="C41" s="1"/>
      <c r="D41" s="1"/>
      <c r="E41" s="1"/>
      <c r="F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N41">
        <v>41</v>
      </c>
      <c r="AO41" t="s">
        <v>600</v>
      </c>
      <c r="AQ41">
        <v>41</v>
      </c>
      <c r="AR41" s="9" t="s">
        <v>555</v>
      </c>
      <c r="AT41">
        <v>41</v>
      </c>
      <c r="AU41" s="9" t="s">
        <v>556</v>
      </c>
      <c r="AX41">
        <v>41</v>
      </c>
      <c r="AY41" t="s">
        <v>178</v>
      </c>
      <c r="BB41">
        <v>41</v>
      </c>
      <c r="BC41" s="9" t="s">
        <v>556</v>
      </c>
      <c r="BE41">
        <v>41</v>
      </c>
      <c r="BF41" t="s">
        <v>640</v>
      </c>
      <c r="BI41">
        <v>41</v>
      </c>
      <c r="BJ41" t="s">
        <v>657</v>
      </c>
    </row>
    <row r="42" spans="1:62" x14ac:dyDescent="0.3">
      <c r="A42" s="1"/>
      <c r="B42" s="1"/>
      <c r="C42" s="1"/>
      <c r="D42" s="1"/>
      <c r="E42" s="1"/>
      <c r="F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N42">
        <v>42</v>
      </c>
      <c r="AO42" t="s">
        <v>600</v>
      </c>
      <c r="AQ42">
        <v>42</v>
      </c>
      <c r="AR42" s="9" t="s">
        <v>555</v>
      </c>
      <c r="AT42">
        <v>42</v>
      </c>
      <c r="AU42" s="9" t="s">
        <v>556</v>
      </c>
      <c r="AX42">
        <v>42</v>
      </c>
      <c r="AY42" t="s">
        <v>178</v>
      </c>
      <c r="BB42">
        <v>42</v>
      </c>
      <c r="BC42" s="9" t="s">
        <v>556</v>
      </c>
      <c r="BE42">
        <v>42</v>
      </c>
      <c r="BF42" t="s">
        <v>640</v>
      </c>
      <c r="BI42">
        <v>42</v>
      </c>
      <c r="BJ42" t="s">
        <v>657</v>
      </c>
    </row>
    <row r="43" spans="1:62" x14ac:dyDescent="0.3">
      <c r="A43" s="1"/>
      <c r="B43" s="1"/>
      <c r="C43" s="1"/>
      <c r="D43" s="1"/>
      <c r="E43" s="1"/>
      <c r="F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N43">
        <v>43</v>
      </c>
      <c r="AO43" t="s">
        <v>600</v>
      </c>
      <c r="AQ43">
        <v>43</v>
      </c>
      <c r="AR43" s="9" t="s">
        <v>555</v>
      </c>
      <c r="AT43">
        <v>43</v>
      </c>
      <c r="AU43" s="9" t="s">
        <v>556</v>
      </c>
      <c r="AX43">
        <v>43</v>
      </c>
      <c r="AY43" t="s">
        <v>178</v>
      </c>
      <c r="BB43">
        <v>43</v>
      </c>
      <c r="BC43" s="9" t="s">
        <v>556</v>
      </c>
      <c r="BE43">
        <v>43</v>
      </c>
      <c r="BF43" t="s">
        <v>640</v>
      </c>
      <c r="BI43">
        <v>43</v>
      </c>
      <c r="BJ43" t="s">
        <v>657</v>
      </c>
    </row>
    <row r="44" spans="1:62" x14ac:dyDescent="0.3">
      <c r="A44" s="1"/>
      <c r="B44" s="1"/>
      <c r="C44" s="1"/>
      <c r="D44" s="1"/>
      <c r="E44" s="1"/>
      <c r="F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N44">
        <v>44</v>
      </c>
      <c r="AO44" t="s">
        <v>600</v>
      </c>
      <c r="AQ44">
        <v>44</v>
      </c>
      <c r="AR44" s="9" t="s">
        <v>555</v>
      </c>
      <c r="AT44">
        <v>44</v>
      </c>
      <c r="AU44" s="9" t="s">
        <v>556</v>
      </c>
      <c r="AX44">
        <v>44</v>
      </c>
      <c r="AY44" t="s">
        <v>178</v>
      </c>
      <c r="BB44">
        <v>44</v>
      </c>
      <c r="BC44" s="9" t="s">
        <v>556</v>
      </c>
      <c r="BE44">
        <v>44</v>
      </c>
      <c r="BF44" t="s">
        <v>640</v>
      </c>
      <c r="BI44">
        <v>44</v>
      </c>
      <c r="BJ44" t="s">
        <v>178</v>
      </c>
    </row>
    <row r="45" spans="1:62" x14ac:dyDescent="0.3">
      <c r="A45" s="1"/>
      <c r="B45" s="1"/>
      <c r="C45" s="1"/>
      <c r="D45" s="1"/>
      <c r="E45" s="1"/>
      <c r="F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N45">
        <v>45</v>
      </c>
      <c r="AO45" t="s">
        <v>600</v>
      </c>
      <c r="AQ45">
        <v>45</v>
      </c>
      <c r="AR45" s="9" t="s">
        <v>555</v>
      </c>
      <c r="AT45">
        <v>45</v>
      </c>
      <c r="AU45" s="9" t="s">
        <v>556</v>
      </c>
      <c r="AX45">
        <v>45</v>
      </c>
      <c r="AY45" t="s">
        <v>178</v>
      </c>
      <c r="BB45">
        <v>45</v>
      </c>
      <c r="BC45" s="9" t="s">
        <v>556</v>
      </c>
      <c r="BE45">
        <v>45</v>
      </c>
      <c r="BF45" t="s">
        <v>640</v>
      </c>
      <c r="BI45">
        <v>45</v>
      </c>
      <c r="BJ45" t="s">
        <v>178</v>
      </c>
    </row>
    <row r="46" spans="1:62" x14ac:dyDescent="0.3">
      <c r="A46" s="1"/>
      <c r="B46" s="1"/>
      <c r="C46" s="1"/>
      <c r="D46" s="1"/>
      <c r="E46" s="1"/>
      <c r="F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N46">
        <v>46</v>
      </c>
      <c r="AO46" t="s">
        <v>600</v>
      </c>
      <c r="AQ46">
        <v>46</v>
      </c>
      <c r="AR46" s="9" t="s">
        <v>555</v>
      </c>
      <c r="AT46">
        <v>46</v>
      </c>
      <c r="AU46" s="9" t="s">
        <v>556</v>
      </c>
      <c r="AX46">
        <v>46</v>
      </c>
      <c r="AY46" t="s">
        <v>621</v>
      </c>
      <c r="BB46">
        <v>46</v>
      </c>
      <c r="BC46" s="9" t="s">
        <v>556</v>
      </c>
      <c r="BE46">
        <v>46</v>
      </c>
      <c r="BF46" t="s">
        <v>640</v>
      </c>
      <c r="BI46">
        <v>46</v>
      </c>
      <c r="BJ46" t="s">
        <v>178</v>
      </c>
    </row>
    <row r="47" spans="1:62" x14ac:dyDescent="0.3">
      <c r="A47" s="1"/>
      <c r="B47" s="1"/>
      <c r="C47" s="1"/>
      <c r="D47" s="1"/>
      <c r="E47" s="1"/>
      <c r="F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N47">
        <v>47</v>
      </c>
      <c r="AO47" t="s">
        <v>600</v>
      </c>
      <c r="AQ47">
        <v>47</v>
      </c>
      <c r="AR47" s="9" t="s">
        <v>555</v>
      </c>
      <c r="AT47">
        <v>47</v>
      </c>
      <c r="AU47" s="9" t="s">
        <v>556</v>
      </c>
      <c r="AX47">
        <v>47</v>
      </c>
      <c r="AY47" t="s">
        <v>621</v>
      </c>
      <c r="BB47">
        <v>47</v>
      </c>
      <c r="BC47" s="9" t="s">
        <v>556</v>
      </c>
      <c r="BE47">
        <v>47</v>
      </c>
      <c r="BF47" t="s">
        <v>640</v>
      </c>
      <c r="BI47">
        <v>47</v>
      </c>
      <c r="BJ47" t="s">
        <v>184</v>
      </c>
    </row>
    <row r="48" spans="1:62" x14ac:dyDescent="0.3">
      <c r="A48" s="1"/>
      <c r="B48" s="1"/>
      <c r="C48" s="1"/>
      <c r="D48" s="1"/>
      <c r="E48" s="1"/>
      <c r="F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N48">
        <v>48</v>
      </c>
      <c r="AO48" t="s">
        <v>600</v>
      </c>
      <c r="AQ48">
        <v>48</v>
      </c>
      <c r="AR48" s="9" t="s">
        <v>555</v>
      </c>
      <c r="AT48">
        <v>48</v>
      </c>
      <c r="AU48" s="9" t="s">
        <v>556</v>
      </c>
      <c r="AX48">
        <v>48</v>
      </c>
      <c r="AY48" t="s">
        <v>621</v>
      </c>
      <c r="BB48">
        <v>48</v>
      </c>
      <c r="BC48" s="9" t="s">
        <v>556</v>
      </c>
      <c r="BE48">
        <v>48</v>
      </c>
      <c r="BF48" t="s">
        <v>640</v>
      </c>
      <c r="BI48">
        <v>48</v>
      </c>
      <c r="BJ48" t="s">
        <v>184</v>
      </c>
    </row>
    <row r="49" spans="1:62" x14ac:dyDescent="0.3">
      <c r="A49" s="1"/>
      <c r="B49" s="1"/>
      <c r="C49" s="1"/>
      <c r="D49" s="1"/>
      <c r="E49" s="1"/>
      <c r="F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AN49">
        <v>49</v>
      </c>
      <c r="AO49" t="s">
        <v>600</v>
      </c>
      <c r="AQ49">
        <v>49</v>
      </c>
      <c r="AR49" s="9" t="s">
        <v>555</v>
      </c>
      <c r="AT49">
        <v>49</v>
      </c>
      <c r="AU49" s="9" t="s">
        <v>556</v>
      </c>
      <c r="AX49">
        <v>49</v>
      </c>
      <c r="AY49" t="s">
        <v>621</v>
      </c>
      <c r="BB49">
        <v>49</v>
      </c>
      <c r="BC49" s="9" t="s">
        <v>556</v>
      </c>
      <c r="BE49">
        <v>49</v>
      </c>
      <c r="BF49" t="s">
        <v>641</v>
      </c>
      <c r="BI49">
        <v>49</v>
      </c>
      <c r="BJ49" t="s">
        <v>184</v>
      </c>
    </row>
    <row r="50" spans="1:62" x14ac:dyDescent="0.3">
      <c r="A50" s="1"/>
      <c r="B50" s="1"/>
      <c r="C50" s="1"/>
      <c r="D50" s="1"/>
      <c r="E50" s="1"/>
      <c r="F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AN50">
        <v>50</v>
      </c>
      <c r="AO50" t="s">
        <v>600</v>
      </c>
      <c r="AQ50">
        <v>50</v>
      </c>
      <c r="AR50" s="9" t="s">
        <v>555</v>
      </c>
      <c r="AT50">
        <v>50</v>
      </c>
      <c r="AU50" s="9" t="s">
        <v>556</v>
      </c>
      <c r="AX50">
        <v>50</v>
      </c>
      <c r="AY50" t="s">
        <v>621</v>
      </c>
      <c r="BB50">
        <v>50</v>
      </c>
      <c r="BC50" s="9" t="s">
        <v>556</v>
      </c>
      <c r="BE50">
        <v>50</v>
      </c>
      <c r="BF50" t="s">
        <v>641</v>
      </c>
      <c r="BI50">
        <v>50</v>
      </c>
      <c r="BJ50" t="s">
        <v>184</v>
      </c>
    </row>
    <row r="51" spans="1:62" x14ac:dyDescent="0.3">
      <c r="A51" s="1"/>
      <c r="B51" s="1"/>
      <c r="C51" s="1"/>
      <c r="D51" s="1"/>
      <c r="E51" s="1"/>
      <c r="F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AN51">
        <v>51</v>
      </c>
      <c r="AO51" t="s">
        <v>600</v>
      </c>
      <c r="AQ51">
        <v>51</v>
      </c>
      <c r="AR51" s="9" t="s">
        <v>555</v>
      </c>
      <c r="AT51">
        <v>51</v>
      </c>
      <c r="AU51" s="9" t="s">
        <v>556</v>
      </c>
      <c r="AX51">
        <v>51</v>
      </c>
      <c r="AY51" t="s">
        <v>621</v>
      </c>
      <c r="BB51">
        <v>51</v>
      </c>
      <c r="BC51" s="9" t="s">
        <v>556</v>
      </c>
      <c r="BE51">
        <v>51</v>
      </c>
      <c r="BF51" t="s">
        <v>641</v>
      </c>
      <c r="BI51">
        <v>51</v>
      </c>
      <c r="BJ51" t="s">
        <v>184</v>
      </c>
    </row>
    <row r="52" spans="1:62" x14ac:dyDescent="0.3">
      <c r="AN52">
        <v>52</v>
      </c>
      <c r="AO52" t="s">
        <v>600</v>
      </c>
      <c r="AQ52">
        <v>52</v>
      </c>
      <c r="AR52" s="9" t="s">
        <v>555</v>
      </c>
      <c r="AT52">
        <v>52</v>
      </c>
      <c r="AU52" s="9" t="s">
        <v>556</v>
      </c>
      <c r="AX52">
        <v>52</v>
      </c>
      <c r="AY52" t="s">
        <v>621</v>
      </c>
      <c r="BB52">
        <v>52</v>
      </c>
      <c r="BC52" s="9" t="s">
        <v>556</v>
      </c>
      <c r="BE52">
        <v>52</v>
      </c>
      <c r="BF52" t="s">
        <v>641</v>
      </c>
      <c r="BI52">
        <v>52</v>
      </c>
      <c r="BJ52" t="s">
        <v>184</v>
      </c>
    </row>
    <row r="53" spans="1:62" x14ac:dyDescent="0.3">
      <c r="AN53">
        <v>53</v>
      </c>
      <c r="AO53" t="s">
        <v>600</v>
      </c>
      <c r="AQ53">
        <v>53</v>
      </c>
      <c r="AR53" s="9" t="s">
        <v>555</v>
      </c>
      <c r="AT53">
        <v>53</v>
      </c>
      <c r="AU53" s="9" t="s">
        <v>556</v>
      </c>
      <c r="AX53">
        <v>53</v>
      </c>
      <c r="AY53" t="s">
        <v>622</v>
      </c>
      <c r="BB53">
        <v>53</v>
      </c>
      <c r="BC53" s="9" t="s">
        <v>556</v>
      </c>
      <c r="BE53">
        <v>53</v>
      </c>
      <c r="BF53" t="s">
        <v>642</v>
      </c>
      <c r="BI53">
        <v>53</v>
      </c>
      <c r="BJ53" t="s">
        <v>184</v>
      </c>
    </row>
    <row r="54" spans="1:62" x14ac:dyDescent="0.3">
      <c r="AN54">
        <v>54</v>
      </c>
      <c r="AO54" t="s">
        <v>600</v>
      </c>
      <c r="AQ54">
        <v>54</v>
      </c>
      <c r="AR54" s="9" t="s">
        <v>555</v>
      </c>
      <c r="AT54">
        <v>54</v>
      </c>
      <c r="AU54" s="9" t="s">
        <v>556</v>
      </c>
      <c r="AX54">
        <v>54</v>
      </c>
      <c r="AY54" t="s">
        <v>622</v>
      </c>
      <c r="BB54">
        <v>54</v>
      </c>
      <c r="BC54" s="9" t="s">
        <v>556</v>
      </c>
      <c r="BE54">
        <v>54</v>
      </c>
      <c r="BF54" t="s">
        <v>642</v>
      </c>
      <c r="BI54">
        <v>54</v>
      </c>
      <c r="BJ54" t="s">
        <v>184</v>
      </c>
    </row>
    <row r="55" spans="1:62" x14ac:dyDescent="0.3">
      <c r="AN55">
        <v>55</v>
      </c>
      <c r="AO55" t="s">
        <v>600</v>
      </c>
      <c r="AQ55">
        <v>55</v>
      </c>
      <c r="AR55" s="9" t="s">
        <v>555</v>
      </c>
      <c r="AT55">
        <v>55</v>
      </c>
      <c r="AU55" s="9" t="s">
        <v>556</v>
      </c>
      <c r="AX55">
        <v>55</v>
      </c>
      <c r="AY55" t="s">
        <v>622</v>
      </c>
      <c r="BB55">
        <v>55</v>
      </c>
      <c r="BC55" s="9" t="s">
        <v>556</v>
      </c>
      <c r="BE55">
        <v>55</v>
      </c>
      <c r="BF55" t="s">
        <v>642</v>
      </c>
      <c r="BI55">
        <v>55</v>
      </c>
      <c r="BJ55" t="s">
        <v>658</v>
      </c>
    </row>
    <row r="56" spans="1:62" x14ac:dyDescent="0.3">
      <c r="AN56">
        <v>56</v>
      </c>
      <c r="AO56" t="s">
        <v>600</v>
      </c>
      <c r="AQ56">
        <v>56</v>
      </c>
      <c r="AR56" s="9" t="s">
        <v>555</v>
      </c>
      <c r="AT56">
        <v>56</v>
      </c>
      <c r="AU56" s="9" t="s">
        <v>556</v>
      </c>
      <c r="AX56">
        <v>56</v>
      </c>
      <c r="AY56" t="s">
        <v>622</v>
      </c>
      <c r="BB56">
        <v>56</v>
      </c>
      <c r="BC56" s="9" t="s">
        <v>556</v>
      </c>
      <c r="BE56">
        <v>56</v>
      </c>
      <c r="BF56" t="s">
        <v>642</v>
      </c>
      <c r="BI56">
        <v>56</v>
      </c>
      <c r="BJ56" t="s">
        <v>658</v>
      </c>
    </row>
    <row r="57" spans="1:62" x14ac:dyDescent="0.3">
      <c r="AN57">
        <v>57</v>
      </c>
      <c r="AO57" t="s">
        <v>600</v>
      </c>
      <c r="AQ57">
        <v>57</v>
      </c>
      <c r="AR57" s="9" t="s">
        <v>555</v>
      </c>
      <c r="AT57">
        <v>57</v>
      </c>
      <c r="AU57" s="9" t="s">
        <v>556</v>
      </c>
      <c r="AX57">
        <v>57</v>
      </c>
      <c r="AY57" t="s">
        <v>622</v>
      </c>
      <c r="BB57">
        <v>57</v>
      </c>
      <c r="BC57" s="9" t="s">
        <v>556</v>
      </c>
      <c r="BE57">
        <v>57</v>
      </c>
      <c r="BF57" t="s">
        <v>642</v>
      </c>
      <c r="BI57">
        <v>57</v>
      </c>
      <c r="BJ57" t="s">
        <v>658</v>
      </c>
    </row>
    <row r="58" spans="1:62" x14ac:dyDescent="0.3">
      <c r="AN58">
        <v>58</v>
      </c>
      <c r="AO58" t="s">
        <v>600</v>
      </c>
      <c r="AQ58">
        <v>58</v>
      </c>
      <c r="AR58" s="9" t="s">
        <v>555</v>
      </c>
      <c r="AT58">
        <v>58</v>
      </c>
      <c r="AU58" s="9" t="s">
        <v>556</v>
      </c>
      <c r="AX58">
        <v>58</v>
      </c>
      <c r="AY58" t="s">
        <v>623</v>
      </c>
      <c r="BB58">
        <v>58</v>
      </c>
      <c r="BC58" s="9" t="s">
        <v>557</v>
      </c>
      <c r="BE58">
        <v>58</v>
      </c>
      <c r="BF58" t="s">
        <v>642</v>
      </c>
      <c r="BI58">
        <v>58</v>
      </c>
      <c r="BJ58" t="s">
        <v>658</v>
      </c>
    </row>
    <row r="59" spans="1:62" x14ac:dyDescent="0.3">
      <c r="AN59">
        <v>59</v>
      </c>
      <c r="AO59" t="s">
        <v>600</v>
      </c>
      <c r="AQ59">
        <v>59</v>
      </c>
      <c r="AR59" s="9" t="s">
        <v>555</v>
      </c>
      <c r="AT59">
        <v>59</v>
      </c>
      <c r="AU59" s="9" t="s">
        <v>556</v>
      </c>
      <c r="AX59">
        <v>59</v>
      </c>
      <c r="AY59" t="s">
        <v>623</v>
      </c>
      <c r="BB59">
        <v>59</v>
      </c>
      <c r="BC59" s="9" t="s">
        <v>557</v>
      </c>
      <c r="BE59">
        <v>59</v>
      </c>
      <c r="BF59" t="s">
        <v>643</v>
      </c>
      <c r="BI59">
        <v>59</v>
      </c>
      <c r="BJ59" t="s">
        <v>658</v>
      </c>
    </row>
    <row r="60" spans="1:62" x14ac:dyDescent="0.3">
      <c r="AN60">
        <v>60</v>
      </c>
      <c r="AO60" t="s">
        <v>601</v>
      </c>
      <c r="AQ60">
        <v>60</v>
      </c>
      <c r="AR60" s="9" t="s">
        <v>555</v>
      </c>
      <c r="AT60">
        <v>60</v>
      </c>
      <c r="AU60" s="9" t="s">
        <v>556</v>
      </c>
      <c r="AX60">
        <v>60</v>
      </c>
      <c r="AY60" t="s">
        <v>623</v>
      </c>
      <c r="BB60">
        <v>60</v>
      </c>
      <c r="BC60" s="9" t="s">
        <v>557</v>
      </c>
      <c r="BE60">
        <v>60</v>
      </c>
      <c r="BF60" t="s">
        <v>643</v>
      </c>
      <c r="BI60">
        <v>60</v>
      </c>
      <c r="BJ60" t="s">
        <v>659</v>
      </c>
    </row>
    <row r="61" spans="1:62" x14ac:dyDescent="0.3">
      <c r="AN61">
        <v>61</v>
      </c>
      <c r="AO61" t="s">
        <v>601</v>
      </c>
      <c r="AQ61">
        <v>61</v>
      </c>
      <c r="AR61" s="9" t="s">
        <v>555</v>
      </c>
      <c r="AT61">
        <v>61</v>
      </c>
      <c r="AU61" s="9" t="s">
        <v>556</v>
      </c>
      <c r="AX61">
        <v>61</v>
      </c>
      <c r="AY61" t="s">
        <v>623</v>
      </c>
      <c r="BB61">
        <v>61</v>
      </c>
      <c r="BC61" s="9" t="s">
        <v>557</v>
      </c>
      <c r="BE61">
        <v>61</v>
      </c>
      <c r="BF61" t="s">
        <v>643</v>
      </c>
      <c r="BI61">
        <v>61</v>
      </c>
      <c r="BJ61" t="s">
        <v>659</v>
      </c>
    </row>
    <row r="62" spans="1:62" x14ac:dyDescent="0.3">
      <c r="AN62">
        <v>62</v>
      </c>
      <c r="AO62" t="s">
        <v>601</v>
      </c>
      <c r="AQ62">
        <v>62</v>
      </c>
      <c r="AR62" s="9" t="s">
        <v>555</v>
      </c>
      <c r="AT62">
        <v>62</v>
      </c>
      <c r="AU62" s="9" t="s">
        <v>556</v>
      </c>
      <c r="AX62">
        <v>62</v>
      </c>
      <c r="AY62" t="s">
        <v>624</v>
      </c>
      <c r="BB62">
        <v>62</v>
      </c>
      <c r="BC62" s="9" t="s">
        <v>557</v>
      </c>
      <c r="BE62">
        <v>62</v>
      </c>
      <c r="BF62" t="s">
        <v>643</v>
      </c>
      <c r="BI62">
        <v>62</v>
      </c>
      <c r="BJ62" t="s">
        <v>659</v>
      </c>
    </row>
    <row r="63" spans="1:62" x14ac:dyDescent="0.3">
      <c r="AN63">
        <v>63</v>
      </c>
      <c r="AO63" t="s">
        <v>601</v>
      </c>
      <c r="AQ63">
        <v>63</v>
      </c>
      <c r="AR63" s="9" t="s">
        <v>555</v>
      </c>
      <c r="AT63">
        <v>63</v>
      </c>
      <c r="AU63" s="9" t="s">
        <v>556</v>
      </c>
      <c r="AX63">
        <v>63</v>
      </c>
      <c r="AY63" t="s">
        <v>624</v>
      </c>
      <c r="BB63">
        <v>63</v>
      </c>
      <c r="BC63" s="9" t="s">
        <v>557</v>
      </c>
      <c r="BE63">
        <v>63</v>
      </c>
      <c r="BF63" t="s">
        <v>643</v>
      </c>
      <c r="BI63">
        <v>63</v>
      </c>
      <c r="BJ63" t="s">
        <v>659</v>
      </c>
    </row>
    <row r="64" spans="1:62" x14ac:dyDescent="0.3">
      <c r="AN64">
        <v>64</v>
      </c>
      <c r="AO64" t="s">
        <v>601</v>
      </c>
      <c r="AQ64">
        <v>64</v>
      </c>
      <c r="AR64" s="9" t="s">
        <v>555</v>
      </c>
      <c r="AT64">
        <v>64</v>
      </c>
      <c r="AU64" s="9" t="s">
        <v>556</v>
      </c>
      <c r="AX64">
        <v>64</v>
      </c>
      <c r="AY64" t="s">
        <v>624</v>
      </c>
      <c r="BB64">
        <v>64</v>
      </c>
      <c r="BC64" s="9" t="s">
        <v>557</v>
      </c>
      <c r="BE64">
        <v>64</v>
      </c>
      <c r="BF64" t="s">
        <v>643</v>
      </c>
      <c r="BI64">
        <v>64</v>
      </c>
      <c r="BJ64" t="s">
        <v>659</v>
      </c>
    </row>
    <row r="65" spans="40:62" x14ac:dyDescent="0.3">
      <c r="AN65">
        <v>65</v>
      </c>
      <c r="AO65" t="s">
        <v>601</v>
      </c>
      <c r="AQ65">
        <v>65</v>
      </c>
      <c r="AR65" s="9" t="s">
        <v>555</v>
      </c>
      <c r="AT65">
        <v>65</v>
      </c>
      <c r="AU65" s="9" t="s">
        <v>556</v>
      </c>
      <c r="AX65">
        <v>65</v>
      </c>
      <c r="AY65" t="s">
        <v>624</v>
      </c>
      <c r="BB65">
        <v>65</v>
      </c>
      <c r="BC65" s="9" t="s">
        <v>557</v>
      </c>
      <c r="BE65">
        <v>65</v>
      </c>
      <c r="BF65" t="s">
        <v>643</v>
      </c>
      <c r="BI65">
        <v>65</v>
      </c>
      <c r="BJ65" t="s">
        <v>659</v>
      </c>
    </row>
    <row r="66" spans="40:62" x14ac:dyDescent="0.3">
      <c r="AN66">
        <v>66</v>
      </c>
      <c r="AO66" t="s">
        <v>601</v>
      </c>
      <c r="AQ66">
        <v>66</v>
      </c>
      <c r="AR66" s="9" t="s">
        <v>555</v>
      </c>
      <c r="AT66">
        <v>66</v>
      </c>
      <c r="AU66" s="9" t="s">
        <v>556</v>
      </c>
      <c r="AX66">
        <v>66</v>
      </c>
      <c r="AY66" t="s">
        <v>624</v>
      </c>
      <c r="BB66">
        <v>66</v>
      </c>
      <c r="BC66" s="9" t="s">
        <v>557</v>
      </c>
      <c r="BE66">
        <v>66</v>
      </c>
      <c r="BF66" t="s">
        <v>643</v>
      </c>
      <c r="BI66">
        <v>66</v>
      </c>
      <c r="BJ66" t="s">
        <v>621</v>
      </c>
    </row>
    <row r="67" spans="40:62" x14ac:dyDescent="0.3">
      <c r="AN67">
        <v>67</v>
      </c>
      <c r="AO67" t="s">
        <v>601</v>
      </c>
      <c r="AQ67">
        <v>67</v>
      </c>
      <c r="AR67" s="9" t="s">
        <v>555</v>
      </c>
      <c r="AT67">
        <v>67</v>
      </c>
      <c r="AU67" s="9" t="s">
        <v>556</v>
      </c>
      <c r="AX67">
        <v>67</v>
      </c>
      <c r="AY67" t="s">
        <v>624</v>
      </c>
      <c r="BB67">
        <v>67</v>
      </c>
      <c r="BC67" s="9" t="s">
        <v>557</v>
      </c>
      <c r="BE67">
        <v>67</v>
      </c>
      <c r="BF67" t="s">
        <v>643</v>
      </c>
      <c r="BI67">
        <v>67</v>
      </c>
      <c r="BJ67" t="s">
        <v>621</v>
      </c>
    </row>
    <row r="68" spans="40:62" x14ac:dyDescent="0.3">
      <c r="AN68">
        <v>68</v>
      </c>
      <c r="AO68" t="s">
        <v>601</v>
      </c>
      <c r="AQ68">
        <v>68</v>
      </c>
      <c r="AR68" s="9" t="s">
        <v>555</v>
      </c>
      <c r="AT68">
        <v>68</v>
      </c>
      <c r="AU68" s="9" t="s">
        <v>557</v>
      </c>
      <c r="AX68">
        <v>68</v>
      </c>
      <c r="AY68" t="s">
        <v>625</v>
      </c>
      <c r="BB68">
        <v>68</v>
      </c>
      <c r="BC68" s="9" t="s">
        <v>557</v>
      </c>
      <c r="BE68">
        <v>68</v>
      </c>
      <c r="BF68" t="s">
        <v>644</v>
      </c>
      <c r="BI68">
        <v>68</v>
      </c>
      <c r="BJ68" t="s">
        <v>621</v>
      </c>
    </row>
    <row r="69" spans="40:62" x14ac:dyDescent="0.3">
      <c r="AN69">
        <v>69</v>
      </c>
      <c r="AO69" t="s">
        <v>601</v>
      </c>
      <c r="AQ69">
        <v>69</v>
      </c>
      <c r="AR69" s="9" t="s">
        <v>555</v>
      </c>
      <c r="AT69">
        <v>69</v>
      </c>
      <c r="AU69" s="9" t="s">
        <v>557</v>
      </c>
      <c r="AX69">
        <v>69</v>
      </c>
      <c r="AY69" t="s">
        <v>625</v>
      </c>
      <c r="BB69">
        <v>69</v>
      </c>
      <c r="BC69" s="9" t="s">
        <v>557</v>
      </c>
      <c r="BE69">
        <v>69</v>
      </c>
      <c r="BF69" t="s">
        <v>644</v>
      </c>
      <c r="BI69">
        <v>69</v>
      </c>
      <c r="BJ69" t="s">
        <v>621</v>
      </c>
    </row>
    <row r="70" spans="40:62" x14ac:dyDescent="0.3">
      <c r="AN70">
        <v>70</v>
      </c>
      <c r="AO70" t="s">
        <v>601</v>
      </c>
      <c r="AQ70">
        <v>70</v>
      </c>
      <c r="AR70" s="9" t="s">
        <v>555</v>
      </c>
      <c r="AT70">
        <v>70</v>
      </c>
      <c r="AU70" s="9" t="s">
        <v>557</v>
      </c>
      <c r="AX70">
        <v>70</v>
      </c>
      <c r="AY70" t="s">
        <v>625</v>
      </c>
      <c r="BB70">
        <v>70</v>
      </c>
      <c r="BC70" s="9" t="s">
        <v>557</v>
      </c>
      <c r="BE70">
        <v>70</v>
      </c>
      <c r="BF70" t="s">
        <v>644</v>
      </c>
      <c r="BI70">
        <v>70</v>
      </c>
      <c r="BJ70" t="s">
        <v>621</v>
      </c>
    </row>
    <row r="71" spans="40:62" x14ac:dyDescent="0.3">
      <c r="AN71">
        <v>71</v>
      </c>
      <c r="AO71" t="s">
        <v>602</v>
      </c>
      <c r="AQ71">
        <v>71</v>
      </c>
      <c r="AR71" s="9" t="s">
        <v>556</v>
      </c>
      <c r="AT71">
        <v>71</v>
      </c>
      <c r="AU71" s="9" t="s">
        <v>557</v>
      </c>
      <c r="AX71">
        <v>71</v>
      </c>
      <c r="AY71" t="s">
        <v>625</v>
      </c>
      <c r="BB71">
        <v>71</v>
      </c>
      <c r="BC71" s="9" t="s">
        <v>557</v>
      </c>
      <c r="BE71">
        <v>71</v>
      </c>
      <c r="BF71" t="s">
        <v>645</v>
      </c>
      <c r="BI71">
        <v>71</v>
      </c>
      <c r="BJ71" t="s">
        <v>621</v>
      </c>
    </row>
    <row r="72" spans="40:62" x14ac:dyDescent="0.3">
      <c r="AN72">
        <v>72</v>
      </c>
      <c r="AO72" t="s">
        <v>602</v>
      </c>
      <c r="AQ72">
        <v>72</v>
      </c>
      <c r="AR72" s="9" t="s">
        <v>556</v>
      </c>
      <c r="AT72">
        <v>72</v>
      </c>
      <c r="AU72" s="9" t="s">
        <v>557</v>
      </c>
      <c r="AX72">
        <v>72</v>
      </c>
      <c r="AY72" t="s">
        <v>625</v>
      </c>
      <c r="BB72">
        <v>72</v>
      </c>
      <c r="BC72" s="9" t="s">
        <v>557</v>
      </c>
      <c r="BE72">
        <v>72</v>
      </c>
      <c r="BF72" t="s">
        <v>645</v>
      </c>
      <c r="BI72">
        <v>72</v>
      </c>
      <c r="BJ72" t="s">
        <v>621</v>
      </c>
    </row>
    <row r="73" spans="40:62" x14ac:dyDescent="0.3">
      <c r="AN73">
        <v>73</v>
      </c>
      <c r="AO73" t="s">
        <v>603</v>
      </c>
      <c r="AQ73">
        <v>73</v>
      </c>
      <c r="AR73" s="9" t="s">
        <v>556</v>
      </c>
      <c r="AT73">
        <v>73</v>
      </c>
      <c r="AU73" s="9" t="s">
        <v>557</v>
      </c>
      <c r="AX73">
        <v>73</v>
      </c>
      <c r="AY73" t="s">
        <v>626</v>
      </c>
      <c r="BB73">
        <v>73</v>
      </c>
      <c r="BC73" s="9" t="s">
        <v>557</v>
      </c>
      <c r="BE73">
        <v>73</v>
      </c>
      <c r="BF73" t="s">
        <v>645</v>
      </c>
      <c r="BI73">
        <v>73</v>
      </c>
      <c r="BJ73" t="s">
        <v>621</v>
      </c>
    </row>
    <row r="74" spans="40:62" x14ac:dyDescent="0.3">
      <c r="AN74">
        <v>74</v>
      </c>
      <c r="AO74" t="s">
        <v>603</v>
      </c>
      <c r="AQ74">
        <v>74</v>
      </c>
      <c r="AR74" s="9" t="s">
        <v>556</v>
      </c>
      <c r="AT74">
        <v>74</v>
      </c>
      <c r="AU74" s="9" t="s">
        <v>557</v>
      </c>
      <c r="AX74">
        <v>74</v>
      </c>
      <c r="AY74" t="s">
        <v>626</v>
      </c>
      <c r="BB74">
        <v>74</v>
      </c>
      <c r="BC74" s="9" t="s">
        <v>558</v>
      </c>
      <c r="BE74">
        <v>74</v>
      </c>
      <c r="BF74" t="s">
        <v>645</v>
      </c>
      <c r="BI74">
        <v>74</v>
      </c>
      <c r="BJ74" t="s">
        <v>660</v>
      </c>
    </row>
    <row r="75" spans="40:62" x14ac:dyDescent="0.3">
      <c r="AN75">
        <v>75</v>
      </c>
      <c r="AO75" t="s">
        <v>603</v>
      </c>
      <c r="AQ75">
        <v>75</v>
      </c>
      <c r="AR75" s="9" t="s">
        <v>556</v>
      </c>
      <c r="AT75">
        <v>75</v>
      </c>
      <c r="AU75" s="9" t="s">
        <v>557</v>
      </c>
      <c r="AX75">
        <v>75</v>
      </c>
      <c r="AY75" t="s">
        <v>626</v>
      </c>
      <c r="BB75">
        <v>75</v>
      </c>
      <c r="BC75" s="9" t="s">
        <v>558</v>
      </c>
      <c r="BE75">
        <v>75</v>
      </c>
      <c r="BF75" t="s">
        <v>645</v>
      </c>
      <c r="BI75">
        <v>75</v>
      </c>
      <c r="BJ75" t="s">
        <v>660</v>
      </c>
    </row>
    <row r="76" spans="40:62" x14ac:dyDescent="0.3">
      <c r="AN76">
        <v>76</v>
      </c>
      <c r="AO76" t="s">
        <v>603</v>
      </c>
      <c r="AQ76">
        <v>76</v>
      </c>
      <c r="AR76" s="9" t="s">
        <v>556</v>
      </c>
      <c r="AT76">
        <v>76</v>
      </c>
      <c r="AU76" s="9" t="s">
        <v>557</v>
      </c>
      <c r="AX76">
        <v>76</v>
      </c>
      <c r="AY76" t="s">
        <v>626</v>
      </c>
      <c r="BB76">
        <v>76</v>
      </c>
      <c r="BC76" s="9" t="s">
        <v>558</v>
      </c>
      <c r="BE76">
        <v>76</v>
      </c>
      <c r="BF76" t="s">
        <v>645</v>
      </c>
      <c r="BI76">
        <v>76</v>
      </c>
      <c r="BJ76" t="s">
        <v>660</v>
      </c>
    </row>
    <row r="77" spans="40:62" x14ac:dyDescent="0.3">
      <c r="AN77">
        <v>77</v>
      </c>
      <c r="AO77" t="s">
        <v>603</v>
      </c>
      <c r="AQ77">
        <v>77</v>
      </c>
      <c r="AR77" s="9" t="s">
        <v>556</v>
      </c>
      <c r="AT77">
        <v>77</v>
      </c>
      <c r="AU77" s="9" t="s">
        <v>557</v>
      </c>
      <c r="AX77">
        <v>77</v>
      </c>
      <c r="AY77" t="s">
        <v>627</v>
      </c>
      <c r="BB77">
        <v>77</v>
      </c>
      <c r="BC77" s="9" t="s">
        <v>558</v>
      </c>
      <c r="BE77">
        <v>77</v>
      </c>
      <c r="BF77" t="s">
        <v>646</v>
      </c>
      <c r="BI77">
        <v>77</v>
      </c>
      <c r="BJ77" t="s">
        <v>660</v>
      </c>
    </row>
    <row r="78" spans="40:62" x14ac:dyDescent="0.3">
      <c r="AN78">
        <v>78</v>
      </c>
      <c r="AO78" t="s">
        <v>603</v>
      </c>
      <c r="AQ78">
        <v>78</v>
      </c>
      <c r="AR78" s="9" t="s">
        <v>556</v>
      </c>
      <c r="AT78">
        <v>78</v>
      </c>
      <c r="AU78" s="9" t="s">
        <v>557</v>
      </c>
      <c r="AX78">
        <v>78</v>
      </c>
      <c r="AY78" t="s">
        <v>627</v>
      </c>
      <c r="BB78">
        <v>78</v>
      </c>
      <c r="BC78" s="9" t="s">
        <v>558</v>
      </c>
      <c r="BE78">
        <v>78</v>
      </c>
      <c r="BF78" t="s">
        <v>646</v>
      </c>
      <c r="BI78">
        <v>78</v>
      </c>
      <c r="BJ78" t="s">
        <v>660</v>
      </c>
    </row>
    <row r="79" spans="40:62" x14ac:dyDescent="0.3">
      <c r="AN79">
        <v>79</v>
      </c>
      <c r="AO79" t="s">
        <v>603</v>
      </c>
      <c r="AQ79">
        <v>79</v>
      </c>
      <c r="AR79" s="9" t="s">
        <v>556</v>
      </c>
      <c r="AT79">
        <v>79</v>
      </c>
      <c r="AU79" s="9" t="s">
        <v>557</v>
      </c>
      <c r="AX79">
        <v>79</v>
      </c>
      <c r="AY79" t="s">
        <v>628</v>
      </c>
      <c r="BB79">
        <v>79</v>
      </c>
      <c r="BC79" s="9" t="s">
        <v>558</v>
      </c>
      <c r="BE79">
        <v>79</v>
      </c>
      <c r="BF79" t="s">
        <v>646</v>
      </c>
      <c r="BI79">
        <v>79</v>
      </c>
      <c r="BJ79" t="s">
        <v>660</v>
      </c>
    </row>
    <row r="80" spans="40:62" x14ac:dyDescent="0.3">
      <c r="AN80">
        <v>80</v>
      </c>
      <c r="AO80" t="s">
        <v>603</v>
      </c>
      <c r="AQ80">
        <v>80</v>
      </c>
      <c r="AR80" s="9" t="s">
        <v>556</v>
      </c>
      <c r="AT80">
        <v>80</v>
      </c>
      <c r="AU80" s="9" t="s">
        <v>557</v>
      </c>
      <c r="AX80">
        <v>80</v>
      </c>
      <c r="AY80" t="s">
        <v>628</v>
      </c>
      <c r="BB80">
        <v>80</v>
      </c>
      <c r="BC80" s="9" t="s">
        <v>558</v>
      </c>
      <c r="BE80">
        <v>80</v>
      </c>
      <c r="BF80" t="s">
        <v>646</v>
      </c>
      <c r="BI80">
        <v>80</v>
      </c>
      <c r="BJ80" t="s">
        <v>661</v>
      </c>
    </row>
    <row r="81" spans="40:62" x14ac:dyDescent="0.3">
      <c r="AN81">
        <v>81</v>
      </c>
      <c r="AO81" t="s">
        <v>604</v>
      </c>
      <c r="AQ81">
        <v>81</v>
      </c>
      <c r="AR81" s="9" t="s">
        <v>556</v>
      </c>
      <c r="AT81">
        <v>81</v>
      </c>
      <c r="AU81" s="9" t="s">
        <v>557</v>
      </c>
      <c r="AX81">
        <v>81</v>
      </c>
      <c r="AY81" t="s">
        <v>628</v>
      </c>
      <c r="BB81">
        <v>81</v>
      </c>
      <c r="BC81" s="9" t="s">
        <v>558</v>
      </c>
      <c r="BE81">
        <v>81</v>
      </c>
      <c r="BF81" t="s">
        <v>646</v>
      </c>
      <c r="BI81">
        <v>81</v>
      </c>
      <c r="BJ81" t="s">
        <v>661</v>
      </c>
    </row>
    <row r="82" spans="40:62" x14ac:dyDescent="0.3">
      <c r="AN82">
        <v>82</v>
      </c>
      <c r="AO82" t="s">
        <v>604</v>
      </c>
      <c r="AQ82">
        <v>82</v>
      </c>
      <c r="AR82" s="9" t="s">
        <v>556</v>
      </c>
      <c r="AT82">
        <v>82</v>
      </c>
      <c r="AU82" s="9" t="s">
        <v>557</v>
      </c>
      <c r="AX82">
        <v>82</v>
      </c>
      <c r="AY82" t="s">
        <v>628</v>
      </c>
      <c r="BB82">
        <v>82</v>
      </c>
      <c r="BC82" s="9" t="s">
        <v>558</v>
      </c>
      <c r="BE82">
        <v>82</v>
      </c>
      <c r="BF82" t="s">
        <v>646</v>
      </c>
      <c r="BI82">
        <v>82</v>
      </c>
      <c r="BJ82" t="s">
        <v>662</v>
      </c>
    </row>
    <row r="83" spans="40:62" x14ac:dyDescent="0.3">
      <c r="AN83">
        <v>83</v>
      </c>
      <c r="AO83" t="s">
        <v>604</v>
      </c>
      <c r="AQ83">
        <v>83</v>
      </c>
      <c r="AR83" s="9" t="s">
        <v>556</v>
      </c>
      <c r="AT83">
        <v>83</v>
      </c>
      <c r="AU83" s="9" t="s">
        <v>557</v>
      </c>
      <c r="AX83">
        <v>83</v>
      </c>
      <c r="AY83" t="s">
        <v>628</v>
      </c>
      <c r="BB83">
        <v>83</v>
      </c>
      <c r="BC83" s="9" t="s">
        <v>559</v>
      </c>
      <c r="BE83">
        <v>83</v>
      </c>
      <c r="BF83" t="s">
        <v>646</v>
      </c>
      <c r="BI83">
        <v>83</v>
      </c>
      <c r="BJ83" t="s">
        <v>662</v>
      </c>
    </row>
    <row r="84" spans="40:62" x14ac:dyDescent="0.3">
      <c r="AN84">
        <v>84</v>
      </c>
      <c r="AO84" t="s">
        <v>604</v>
      </c>
      <c r="AQ84">
        <v>84</v>
      </c>
      <c r="AR84" s="9" t="s">
        <v>556</v>
      </c>
      <c r="AT84">
        <v>84</v>
      </c>
      <c r="AU84" s="9" t="s">
        <v>557</v>
      </c>
      <c r="AX84">
        <v>84</v>
      </c>
      <c r="AY84" t="s">
        <v>628</v>
      </c>
      <c r="BB84">
        <v>84</v>
      </c>
      <c r="BC84" s="9" t="s">
        <v>559</v>
      </c>
      <c r="BE84">
        <v>84</v>
      </c>
      <c r="BF84" t="s">
        <v>646</v>
      </c>
      <c r="BI84">
        <v>84</v>
      </c>
      <c r="BJ84" t="s">
        <v>662</v>
      </c>
    </row>
    <row r="85" spans="40:62" x14ac:dyDescent="0.3">
      <c r="AN85">
        <v>85</v>
      </c>
      <c r="AO85" t="s">
        <v>604</v>
      </c>
      <c r="AQ85">
        <v>85</v>
      </c>
      <c r="AR85" s="9" t="s">
        <v>556</v>
      </c>
      <c r="AT85">
        <v>85</v>
      </c>
      <c r="AU85" s="9" t="s">
        <v>558</v>
      </c>
      <c r="AX85">
        <v>85</v>
      </c>
      <c r="AY85" t="s">
        <v>628</v>
      </c>
      <c r="BB85">
        <v>85</v>
      </c>
      <c r="BC85" s="9" t="s">
        <v>559</v>
      </c>
      <c r="BE85">
        <v>85</v>
      </c>
      <c r="BF85" t="s">
        <v>646</v>
      </c>
      <c r="BI85">
        <v>85</v>
      </c>
      <c r="BJ85" t="s">
        <v>662</v>
      </c>
    </row>
    <row r="86" spans="40:62" x14ac:dyDescent="0.3">
      <c r="AN86">
        <v>86</v>
      </c>
      <c r="AO86" t="s">
        <v>605</v>
      </c>
      <c r="AQ86">
        <v>86</v>
      </c>
      <c r="AR86" s="9" t="s">
        <v>556</v>
      </c>
      <c r="AT86">
        <v>86</v>
      </c>
      <c r="AU86" s="9" t="s">
        <v>558</v>
      </c>
      <c r="AX86">
        <v>86</v>
      </c>
      <c r="AY86" t="s">
        <v>629</v>
      </c>
      <c r="BB86">
        <v>86</v>
      </c>
      <c r="BC86" s="9" t="s">
        <v>593</v>
      </c>
      <c r="BE86">
        <v>86</v>
      </c>
      <c r="BF86" t="s">
        <v>646</v>
      </c>
      <c r="BI86">
        <v>86</v>
      </c>
      <c r="BJ86" t="s">
        <v>663</v>
      </c>
    </row>
    <row r="87" spans="40:62" x14ac:dyDescent="0.3">
      <c r="AN87">
        <v>87</v>
      </c>
      <c r="AO87" t="s">
        <v>605</v>
      </c>
      <c r="AQ87">
        <v>87</v>
      </c>
      <c r="AR87" s="9" t="s">
        <v>556</v>
      </c>
      <c r="AT87">
        <v>87</v>
      </c>
      <c r="AU87" s="9" t="s">
        <v>558</v>
      </c>
      <c r="AX87">
        <v>87</v>
      </c>
      <c r="AY87" t="s">
        <v>629</v>
      </c>
      <c r="BB87">
        <v>87</v>
      </c>
      <c r="BC87" s="9" t="s">
        <v>593</v>
      </c>
      <c r="BE87">
        <v>87</v>
      </c>
      <c r="BF87" t="s">
        <v>646</v>
      </c>
      <c r="BI87">
        <v>87</v>
      </c>
      <c r="BJ87" t="s">
        <v>663</v>
      </c>
    </row>
    <row r="88" spans="40:62" x14ac:dyDescent="0.3">
      <c r="AN88">
        <v>88</v>
      </c>
      <c r="AO88" t="s">
        <v>606</v>
      </c>
      <c r="AQ88">
        <v>88</v>
      </c>
      <c r="AR88" s="9" t="s">
        <v>556</v>
      </c>
      <c r="AT88">
        <v>88</v>
      </c>
      <c r="AU88" s="9" t="s">
        <v>558</v>
      </c>
      <c r="AX88">
        <v>88</v>
      </c>
      <c r="AY88" t="s">
        <v>629</v>
      </c>
      <c r="BB88">
        <v>88</v>
      </c>
      <c r="BC88" s="9" t="s">
        <v>593</v>
      </c>
      <c r="BE88">
        <v>88</v>
      </c>
      <c r="BF88" t="s">
        <v>646</v>
      </c>
      <c r="BI88">
        <v>88</v>
      </c>
      <c r="BJ88" t="s">
        <v>663</v>
      </c>
    </row>
    <row r="89" spans="40:62" x14ac:dyDescent="0.3">
      <c r="AN89">
        <v>89</v>
      </c>
      <c r="AO89" t="s">
        <v>606</v>
      </c>
      <c r="AQ89">
        <v>89</v>
      </c>
      <c r="AR89" s="9" t="s">
        <v>557</v>
      </c>
      <c r="AT89">
        <v>89</v>
      </c>
      <c r="AU89" s="9" t="s">
        <v>558</v>
      </c>
      <c r="AX89">
        <v>89</v>
      </c>
      <c r="AY89" t="s">
        <v>629</v>
      </c>
      <c r="BB89">
        <v>89</v>
      </c>
      <c r="BC89" s="9" t="s">
        <v>593</v>
      </c>
      <c r="BE89">
        <v>89</v>
      </c>
      <c r="BF89" t="s">
        <v>647</v>
      </c>
      <c r="BI89">
        <v>89</v>
      </c>
      <c r="BJ89" t="s">
        <v>663</v>
      </c>
    </row>
    <row r="90" spans="40:62" x14ac:dyDescent="0.3">
      <c r="AN90">
        <v>90</v>
      </c>
      <c r="AO90" t="s">
        <v>606</v>
      </c>
      <c r="AQ90">
        <v>90</v>
      </c>
      <c r="AR90" s="9" t="s">
        <v>557</v>
      </c>
      <c r="AT90">
        <v>90</v>
      </c>
      <c r="AU90" s="9" t="s">
        <v>558</v>
      </c>
      <c r="AX90">
        <v>90</v>
      </c>
      <c r="AY90" t="s">
        <v>630</v>
      </c>
      <c r="BB90">
        <v>90</v>
      </c>
      <c r="BC90" s="9" t="s">
        <v>593</v>
      </c>
      <c r="BE90">
        <v>90</v>
      </c>
      <c r="BF90" t="s">
        <v>647</v>
      </c>
      <c r="BI90">
        <v>90</v>
      </c>
      <c r="BJ90" t="s">
        <v>664</v>
      </c>
    </row>
    <row r="91" spans="40:62" x14ac:dyDescent="0.3">
      <c r="AN91">
        <v>91</v>
      </c>
      <c r="AO91" t="s">
        <v>606</v>
      </c>
      <c r="AQ91">
        <v>91</v>
      </c>
      <c r="AR91" s="9" t="s">
        <v>557</v>
      </c>
      <c r="AT91">
        <v>91</v>
      </c>
      <c r="AU91" s="9" t="s">
        <v>558</v>
      </c>
      <c r="AX91">
        <v>91</v>
      </c>
      <c r="AY91" t="s">
        <v>630</v>
      </c>
      <c r="BB91">
        <v>91</v>
      </c>
      <c r="BC91" s="9" t="s">
        <v>593</v>
      </c>
      <c r="BE91">
        <v>91</v>
      </c>
      <c r="BF91" t="s">
        <v>647</v>
      </c>
      <c r="BI91">
        <v>91</v>
      </c>
      <c r="BJ91" t="s">
        <v>664</v>
      </c>
    </row>
    <row r="92" spans="40:62" x14ac:dyDescent="0.3">
      <c r="AN92">
        <v>92</v>
      </c>
      <c r="AO92" t="s">
        <v>606</v>
      </c>
      <c r="AQ92">
        <v>92</v>
      </c>
      <c r="AR92" s="9" t="s">
        <v>557</v>
      </c>
      <c r="AT92">
        <v>92</v>
      </c>
      <c r="AU92" s="9" t="s">
        <v>558</v>
      </c>
      <c r="AX92">
        <v>92</v>
      </c>
      <c r="AY92" t="s">
        <v>631</v>
      </c>
      <c r="BB92">
        <v>92</v>
      </c>
      <c r="BC92" s="9" t="s">
        <v>593</v>
      </c>
      <c r="BE92">
        <v>92</v>
      </c>
      <c r="BF92" t="s">
        <v>647</v>
      </c>
      <c r="BI92">
        <v>92</v>
      </c>
      <c r="BJ92" t="s">
        <v>664</v>
      </c>
    </row>
    <row r="93" spans="40:62" x14ac:dyDescent="0.3">
      <c r="AN93">
        <v>93</v>
      </c>
      <c r="AO93" t="s">
        <v>607</v>
      </c>
      <c r="AQ93">
        <v>93</v>
      </c>
      <c r="AR93" s="9" t="s">
        <v>557</v>
      </c>
      <c r="AT93">
        <v>93</v>
      </c>
      <c r="AU93" s="9" t="s">
        <v>558</v>
      </c>
      <c r="AX93">
        <v>93</v>
      </c>
      <c r="AY93" t="s">
        <v>631</v>
      </c>
      <c r="BB93">
        <v>93</v>
      </c>
      <c r="BC93" s="9" t="s">
        <v>593</v>
      </c>
      <c r="BE93">
        <v>93</v>
      </c>
      <c r="BF93" t="s">
        <v>647</v>
      </c>
      <c r="BI93">
        <v>93</v>
      </c>
      <c r="BJ93" t="s">
        <v>664</v>
      </c>
    </row>
    <row r="94" spans="40:62" x14ac:dyDescent="0.3">
      <c r="AN94">
        <v>94</v>
      </c>
      <c r="AO94" t="s">
        <v>607</v>
      </c>
      <c r="AQ94">
        <v>94</v>
      </c>
      <c r="AR94" s="9" t="s">
        <v>557</v>
      </c>
      <c r="AT94">
        <v>94</v>
      </c>
      <c r="AU94" s="9" t="s">
        <v>558</v>
      </c>
      <c r="AX94">
        <v>94</v>
      </c>
      <c r="AY94" t="s">
        <v>631</v>
      </c>
      <c r="BB94">
        <v>94</v>
      </c>
      <c r="BC94" s="9" t="s">
        <v>593</v>
      </c>
      <c r="BE94">
        <v>94</v>
      </c>
      <c r="BF94" t="s">
        <v>647</v>
      </c>
      <c r="BI94">
        <v>94</v>
      </c>
      <c r="BJ94" t="s">
        <v>664</v>
      </c>
    </row>
    <row r="95" spans="40:62" x14ac:dyDescent="0.3">
      <c r="AN95">
        <v>95</v>
      </c>
      <c r="AO95" t="s">
        <v>607</v>
      </c>
      <c r="AQ95">
        <v>95</v>
      </c>
      <c r="AR95" s="9" t="s">
        <v>557</v>
      </c>
      <c r="AT95">
        <v>95</v>
      </c>
      <c r="AU95" s="9" t="s">
        <v>559</v>
      </c>
      <c r="AX95">
        <v>95</v>
      </c>
      <c r="AY95" t="s">
        <v>631</v>
      </c>
      <c r="BB95">
        <v>95</v>
      </c>
      <c r="BC95" s="9" t="s">
        <v>593</v>
      </c>
      <c r="BE95">
        <v>95</v>
      </c>
      <c r="BF95" t="s">
        <v>648</v>
      </c>
      <c r="BI95">
        <v>95</v>
      </c>
      <c r="BJ95" t="s">
        <v>665</v>
      </c>
    </row>
    <row r="96" spans="40:62" x14ac:dyDescent="0.3">
      <c r="AN96">
        <v>96</v>
      </c>
      <c r="AO96" t="s">
        <v>607</v>
      </c>
      <c r="AQ96">
        <v>96</v>
      </c>
      <c r="AR96" s="9" t="s">
        <v>557</v>
      </c>
      <c r="AT96">
        <v>96</v>
      </c>
      <c r="AU96" s="9" t="s">
        <v>559</v>
      </c>
      <c r="AX96">
        <v>96</v>
      </c>
      <c r="AY96" t="s">
        <v>631</v>
      </c>
      <c r="BB96">
        <v>96</v>
      </c>
      <c r="BC96" s="9" t="s">
        <v>593</v>
      </c>
      <c r="BE96">
        <v>96</v>
      </c>
      <c r="BF96" t="s">
        <v>648</v>
      </c>
      <c r="BI96">
        <v>96</v>
      </c>
      <c r="BJ96" t="s">
        <v>665</v>
      </c>
    </row>
    <row r="97" spans="40:62" x14ac:dyDescent="0.3">
      <c r="AN97">
        <v>97</v>
      </c>
      <c r="AO97" t="s">
        <v>607</v>
      </c>
      <c r="AQ97">
        <v>97</v>
      </c>
      <c r="AR97" s="9" t="s">
        <v>558</v>
      </c>
      <c r="AT97">
        <v>97</v>
      </c>
      <c r="AU97" s="9" t="s">
        <v>559</v>
      </c>
      <c r="AX97">
        <v>97</v>
      </c>
      <c r="AY97" t="s">
        <v>632</v>
      </c>
      <c r="BB97">
        <v>97</v>
      </c>
      <c r="BC97" s="9" t="s">
        <v>593</v>
      </c>
      <c r="BE97">
        <v>97</v>
      </c>
      <c r="BF97" t="s">
        <v>648</v>
      </c>
      <c r="BI97">
        <v>97</v>
      </c>
      <c r="BJ97" t="s">
        <v>665</v>
      </c>
    </row>
    <row r="98" spans="40:62" x14ac:dyDescent="0.3">
      <c r="AN98">
        <v>98</v>
      </c>
      <c r="AO98" t="s">
        <v>607</v>
      </c>
      <c r="AQ98">
        <v>98</v>
      </c>
      <c r="AR98" s="9" t="s">
        <v>558</v>
      </c>
      <c r="AT98">
        <v>98</v>
      </c>
      <c r="AU98" s="9" t="s">
        <v>559</v>
      </c>
      <c r="AX98">
        <v>98</v>
      </c>
      <c r="AY98" t="s">
        <v>632</v>
      </c>
      <c r="BB98">
        <v>98</v>
      </c>
      <c r="BC98" s="9" t="s">
        <v>593</v>
      </c>
      <c r="BE98">
        <v>98</v>
      </c>
      <c r="BF98" t="s">
        <v>648</v>
      </c>
      <c r="BI98">
        <v>98</v>
      </c>
      <c r="BJ98" t="s">
        <v>665</v>
      </c>
    </row>
    <row r="99" spans="40:62" x14ac:dyDescent="0.3">
      <c r="AN99">
        <v>99</v>
      </c>
      <c r="AO99" t="s">
        <v>607</v>
      </c>
      <c r="AQ99">
        <v>99</v>
      </c>
      <c r="AR99" s="9" t="s">
        <v>558</v>
      </c>
      <c r="AT99">
        <v>99</v>
      </c>
      <c r="AU99" s="9" t="s">
        <v>559</v>
      </c>
      <c r="AX99">
        <v>99</v>
      </c>
      <c r="AY99" t="s">
        <v>632</v>
      </c>
      <c r="BB99">
        <v>99</v>
      </c>
      <c r="BC99" s="9" t="s">
        <v>593</v>
      </c>
      <c r="BE99">
        <v>99</v>
      </c>
      <c r="BF99" t="s">
        <v>648</v>
      </c>
      <c r="BI99">
        <v>99</v>
      </c>
      <c r="BJ99" t="s">
        <v>665</v>
      </c>
    </row>
    <row r="100" spans="40:62" x14ac:dyDescent="0.3">
      <c r="AN100">
        <v>100</v>
      </c>
      <c r="AO100" t="s">
        <v>607</v>
      </c>
      <c r="AQ100">
        <v>100</v>
      </c>
      <c r="AR100" s="9" t="s">
        <v>559</v>
      </c>
      <c r="AT100">
        <v>100</v>
      </c>
      <c r="AU100" s="9" t="s">
        <v>559</v>
      </c>
      <c r="AX100">
        <v>100</v>
      </c>
      <c r="AY100" t="s">
        <v>632</v>
      </c>
      <c r="BB100">
        <v>100</v>
      </c>
      <c r="BC100" s="9" t="s">
        <v>593</v>
      </c>
      <c r="BE100">
        <v>100</v>
      </c>
      <c r="BF100" t="s">
        <v>648</v>
      </c>
      <c r="BI100">
        <v>100</v>
      </c>
      <c r="BJ100" t="s">
        <v>666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DB90-4834-4DB4-98CF-540256F20D65}">
  <dimension ref="A1:BY111"/>
  <sheetViews>
    <sheetView workbookViewId="0">
      <selection activeCell="U12" sqref="U12"/>
    </sheetView>
  </sheetViews>
  <sheetFormatPr defaultRowHeight="14.4" x14ac:dyDescent="0.3"/>
  <cols>
    <col min="1" max="1" width="4.44140625" customWidth="1"/>
    <col min="2" max="2" width="11.33203125" bestFit="1" customWidth="1"/>
    <col min="3" max="3" width="4.77734375" bestFit="1" customWidth="1"/>
    <col min="4" max="4" width="3.21875" bestFit="1" customWidth="1"/>
    <col min="5" max="5" width="14.21875" bestFit="1" customWidth="1"/>
    <col min="6" max="6" width="9.44140625" bestFit="1" customWidth="1"/>
    <col min="7" max="8" width="20.6640625" bestFit="1" customWidth="1"/>
    <col min="9" max="9" width="28" bestFit="1" customWidth="1"/>
    <col min="10" max="10" width="15.33203125" customWidth="1"/>
    <col min="11" max="12" width="7.33203125" customWidth="1"/>
    <col min="13" max="13" width="3.6640625" bestFit="1" customWidth="1"/>
    <col min="14" max="14" width="14.88671875" customWidth="1"/>
    <col min="15" max="19" width="11" customWidth="1"/>
    <col min="20" max="20" width="10.21875" bestFit="1" customWidth="1"/>
    <col min="21" max="21" width="20.88671875" bestFit="1" customWidth="1"/>
    <col min="24" max="24" width="8" bestFit="1" customWidth="1"/>
    <col min="25" max="25" width="7.88671875" bestFit="1" customWidth="1"/>
    <col min="26" max="26" width="9.21875" bestFit="1" customWidth="1"/>
    <col min="27" max="27" width="4.5546875" bestFit="1" customWidth="1"/>
    <col min="28" max="28" width="3.77734375" bestFit="1" customWidth="1"/>
    <col min="29" max="33" width="2.77734375" bestFit="1" customWidth="1"/>
    <col min="35" max="40" width="2.77734375" bestFit="1" customWidth="1"/>
    <col min="41" max="41" width="9.33203125" bestFit="1" customWidth="1"/>
    <col min="42" max="42" width="15.33203125" bestFit="1" customWidth="1"/>
    <col min="43" max="43" width="6" bestFit="1" customWidth="1"/>
    <col min="45" max="45" width="3.77734375" bestFit="1" customWidth="1"/>
    <col min="46" max="46" width="11.33203125" bestFit="1" customWidth="1"/>
    <col min="47" max="49" width="2.77734375" style="9" bestFit="1" customWidth="1"/>
    <col min="50" max="50" width="8.21875" style="9" bestFit="1" customWidth="1"/>
    <col min="51" max="51" width="3" style="16" bestFit="1" customWidth="1"/>
    <col min="52" max="52" width="1.77734375" style="9" bestFit="1" customWidth="1"/>
    <col min="53" max="53" width="3.6640625" style="9" bestFit="1" customWidth="1"/>
    <col min="54" max="54" width="28" style="9" bestFit="1" customWidth="1"/>
    <col min="55" max="55" width="12.33203125" style="9" bestFit="1" customWidth="1"/>
    <col min="56" max="56" width="6" style="9" bestFit="1" customWidth="1"/>
    <col min="57" max="57" width="23.21875" style="9" bestFit="1" customWidth="1"/>
    <col min="58" max="58" width="11.77734375" style="9" bestFit="1" customWidth="1"/>
    <col min="59" max="59" width="11.5546875" bestFit="1" customWidth="1"/>
    <col min="60" max="60" width="1.77734375" bestFit="1" customWidth="1"/>
    <col min="63" max="64" width="2.77734375" bestFit="1" customWidth="1"/>
    <col min="65" max="65" width="3.77734375" bestFit="1" customWidth="1"/>
    <col min="66" max="66" width="2.77734375" bestFit="1" customWidth="1"/>
    <col min="67" max="67" width="3.77734375" bestFit="1" customWidth="1"/>
    <col min="68" max="70" width="2.77734375" bestFit="1" customWidth="1"/>
    <col min="71" max="71" width="3.77734375" bestFit="1" customWidth="1"/>
    <col min="72" max="72" width="2.77734375" bestFit="1" customWidth="1"/>
    <col min="73" max="74" width="3.77734375" bestFit="1" customWidth="1"/>
    <col min="76" max="76" width="2.77734375" style="15" bestFit="1" customWidth="1"/>
    <col min="77" max="77" width="2.77734375" bestFit="1" customWidth="1"/>
  </cols>
  <sheetData>
    <row r="1" spans="1:77" x14ac:dyDescent="0.3">
      <c r="A1" s="17" t="s">
        <v>156</v>
      </c>
      <c r="B1" s="17" t="s">
        <v>158</v>
      </c>
      <c r="C1" s="17" t="s">
        <v>588</v>
      </c>
      <c r="D1" s="17" t="s">
        <v>668</v>
      </c>
      <c r="E1" s="17" t="s">
        <v>236</v>
      </c>
      <c r="F1" s="17" t="s">
        <v>669</v>
      </c>
      <c r="G1" s="17" t="s">
        <v>674</v>
      </c>
      <c r="H1" s="17" t="s">
        <v>675</v>
      </c>
      <c r="I1" s="17" t="s">
        <v>676</v>
      </c>
      <c r="J1" s="17" t="s">
        <v>703</v>
      </c>
      <c r="K1" s="17" t="s">
        <v>704</v>
      </c>
      <c r="L1" s="17" t="s">
        <v>708</v>
      </c>
      <c r="M1" s="17" t="s">
        <v>596</v>
      </c>
      <c r="N1" s="17" t="s">
        <v>709</v>
      </c>
      <c r="O1" s="17" t="s">
        <v>705</v>
      </c>
      <c r="P1" s="17" t="s">
        <v>706</v>
      </c>
      <c r="Q1" s="17" t="s">
        <v>710</v>
      </c>
      <c r="R1" s="17" t="s">
        <v>711</v>
      </c>
      <c r="S1" s="17" t="s">
        <v>712</v>
      </c>
      <c r="T1" s="17" t="s">
        <v>590</v>
      </c>
      <c r="U1" s="17" t="s">
        <v>667</v>
      </c>
      <c r="V1" s="1"/>
      <c r="W1" s="1"/>
      <c r="X1" s="1" t="s">
        <v>670</v>
      </c>
      <c r="Y1" s="1" t="s">
        <v>671</v>
      </c>
      <c r="Z1" s="1" t="s">
        <v>672</v>
      </c>
      <c r="AA1" s="1" t="s">
        <v>673</v>
      </c>
      <c r="AB1" s="1" t="s">
        <v>674</v>
      </c>
      <c r="AC1" s="1" t="s">
        <v>675</v>
      </c>
      <c r="AD1" s="1" t="s">
        <v>676</v>
      </c>
      <c r="AE1" s="1" t="s">
        <v>676</v>
      </c>
      <c r="AF1" s="1" t="s">
        <v>703</v>
      </c>
      <c r="AG1" s="1" t="s">
        <v>704</v>
      </c>
      <c r="AH1" s="1"/>
      <c r="AI1" s="1" t="s">
        <v>11</v>
      </c>
      <c r="AJ1" s="1" t="s">
        <v>705</v>
      </c>
      <c r="AK1" s="1" t="s">
        <v>706</v>
      </c>
      <c r="AL1" s="1" t="s">
        <v>710</v>
      </c>
      <c r="AM1" s="1" t="s">
        <v>711</v>
      </c>
      <c r="AN1" s="1" t="s">
        <v>712</v>
      </c>
      <c r="AO1" s="1" t="s">
        <v>677</v>
      </c>
      <c r="AP1" s="1" t="s">
        <v>667</v>
      </c>
      <c r="AQ1" s="1" t="s">
        <v>593</v>
      </c>
      <c r="AR1" s="1"/>
      <c r="AS1">
        <v>1</v>
      </c>
      <c r="AT1" t="s">
        <v>678</v>
      </c>
      <c r="AU1" s="9" t="s">
        <v>555</v>
      </c>
      <c r="AV1" s="9" t="s">
        <v>555</v>
      </c>
      <c r="AW1" s="9" t="s">
        <v>692</v>
      </c>
      <c r="AX1" s="9" t="s">
        <v>683</v>
      </c>
      <c r="AY1" s="16" t="s">
        <v>683</v>
      </c>
      <c r="AZ1" s="9" t="s">
        <v>692</v>
      </c>
      <c r="BA1" s="9" t="s">
        <v>695</v>
      </c>
      <c r="BB1" s="9" t="s">
        <v>696</v>
      </c>
      <c r="BC1" s="9" t="s">
        <v>165</v>
      </c>
      <c r="BD1" s="9" t="s">
        <v>555</v>
      </c>
      <c r="BE1" s="9" t="s">
        <v>635</v>
      </c>
      <c r="BF1" s="9" t="s">
        <v>650</v>
      </c>
      <c r="BG1" t="s">
        <v>678</v>
      </c>
      <c r="BH1">
        <v>3</v>
      </c>
      <c r="BK1" t="s">
        <v>674</v>
      </c>
      <c r="BL1" t="s">
        <v>675</v>
      </c>
      <c r="BM1" t="s">
        <v>676</v>
      </c>
      <c r="BN1" t="s">
        <v>676</v>
      </c>
      <c r="BO1" t="s">
        <v>703</v>
      </c>
      <c r="BP1" t="s">
        <v>704</v>
      </c>
      <c r="BQ1" t="s">
        <v>11</v>
      </c>
      <c r="BR1" t="s">
        <v>705</v>
      </c>
      <c r="BS1" t="s">
        <v>706</v>
      </c>
      <c r="BT1" t="s">
        <v>710</v>
      </c>
      <c r="BU1" t="s">
        <v>711</v>
      </c>
      <c r="BV1" t="s">
        <v>712</v>
      </c>
      <c r="BX1" s="15" t="s">
        <v>555</v>
      </c>
      <c r="BY1">
        <v>40</v>
      </c>
    </row>
    <row r="2" spans="1:77" x14ac:dyDescent="0.3">
      <c r="A2" s="49">
        <v>1</v>
      </c>
      <c r="B2" s="18" t="str">
        <f ca="1">VLOOKUP(X2,$AS$1:$AT$100,2)</f>
        <v>Short</v>
      </c>
      <c r="C2" s="18" t="str">
        <f ca="1">VLOOKUP(Y2,$AS$1:$AV$100,VLOOKUP(B2,$BG$1:$BH$5,2))</f>
        <v>+2</v>
      </c>
      <c r="D2" s="18">
        <f ca="1">INT(VLOOKUP(AA2,$AS$1:$AW$100,5))</f>
        <v>0</v>
      </c>
      <c r="E2" s="18" t="str">
        <f ca="1">VLOOKUP(AA2,$AS$1:$AX$100,6)</f>
        <v>Nil</v>
      </c>
      <c r="F2" s="18" t="str">
        <f ca="1">IF(E2="Speech", VLOOKUP(AA2,$AS$1:$AY$100,7), "Nil")</f>
        <v>Nil</v>
      </c>
      <c r="G2" s="18" t="str">
        <f ca="1">IF(AB2&lt;=VLOOKUP(D2,'power prob array'!$A:$M,2), VLOOKUP(Swords!BK2,Swords!$AS:$BB,10), "")</f>
        <v/>
      </c>
      <c r="H2" s="18" t="str">
        <f ca="1">IF(AC2&lt;=VLOOKUP(D2,'power prob array'!$A:$M,3), VLOOKUP(Swords!BL2,Swords!$AS:$BB,10), "")</f>
        <v/>
      </c>
      <c r="I2" s="18" t="str">
        <f ca="1">IF(AD2&lt;=VLOOKUP(D2,'power prob array'!$A:$M,4), VLOOKUP(Swords!BM2,Swords!$AS:$BB,10), "")</f>
        <v/>
      </c>
      <c r="J2" s="18" t="str">
        <f ca="1">IF(AE2&lt;=VLOOKUP(D2,'power prob array'!$A:$M,5), VLOOKUP(Swords!BN2,Swords!$AS:$BB,10), "")</f>
        <v/>
      </c>
      <c r="K2" s="18" t="str">
        <f ca="1">IF(AF2&lt;=VLOOKUP(D2,'power prob array'!$A:$M,6), VLOOKUP(Swords!BO2,Swords!$AS:$BB,10), "")</f>
        <v/>
      </c>
      <c r="L2" s="18" t="str">
        <f ca="1">IF(AG2&lt;=VLOOKUP(D2,'power prob array'!$A:$M,7), VLOOKUP(Swords!BP2,Swords!$AS:$BB,10), "")</f>
        <v/>
      </c>
      <c r="M2" s="18" t="str">
        <f ca="1">IF(D2&gt;=11, "Yes", "No")</f>
        <v>No</v>
      </c>
      <c r="N2" s="18" t="str">
        <f ca="1">IF(AI2&lt;=VLOOKUP(D2,'power prob array'!$A:$M,8), VLOOKUP(Swords!BQ2,Swords!$AS:$BC,11), "")</f>
        <v/>
      </c>
      <c r="O2" s="18" t="str">
        <f ca="1">IF(AJ2&lt;=VLOOKUP(D2,'power prob array'!$A:$M,9), VLOOKUP(Swords!BR2,Swords!$AS:$BC,11), "")</f>
        <v/>
      </c>
      <c r="P2" s="18" t="str">
        <f ca="1">IF(AK2&lt;=VLOOKUP(D2,'power prob array'!$A:$M,10), VLOOKUP(Swords!BS2,Swords!$AS:$BC,11), "")</f>
        <v/>
      </c>
      <c r="Q2" s="18" t="str">
        <f ca="1">IF(AL2&lt;=VLOOKUP(D2,'power prob array'!$A:$M,11), VLOOKUP(Swords!BT2,Swords!$AS:$BC,11), "")</f>
        <v/>
      </c>
      <c r="R2" s="18" t="str">
        <f ca="1">IF(AM2&lt;=VLOOKUP(D2,'power prob array'!$A:$M,12), VLOOKUP(Swords!BU2,Swords!$AS:$BC,11), "")</f>
        <v/>
      </c>
      <c r="S2" s="18" t="str">
        <f ca="1">IF(AN2&lt;=VLOOKUP(D2,'power prob array'!$A:$M,13), VLOOKUP(Swords!BV2,Swords!$AS:$BC,11), "")</f>
        <v/>
      </c>
      <c r="T2" s="18" t="str">
        <f ca="1">IF(AO2&lt;=VLOOKUP(C2,$BX:$BY,2), VLOOKUP(AP2,$AS:$BF,12), "No")</f>
        <v>No</v>
      </c>
      <c r="U2" s="18" t="str" cm="1">
        <f t="array" aca="1" ref="U2" ca="1">_xlfn.IFS(T2="Talent", VLOOKUP(AP2,$AS:$BF,14), T2="No", "", 1=1, VLOOKUP(AP2,$AS:$BF,13))</f>
        <v/>
      </c>
      <c r="V2" s="1"/>
      <c r="W2" s="1"/>
      <c r="X2" s="1">
        <f t="shared" ref="X2:AP16" ca="1" si="0">RANDBETWEEN(1,100)</f>
        <v>77</v>
      </c>
      <c r="Y2" s="1">
        <f t="shared" ca="1" si="0"/>
        <v>76</v>
      </c>
      <c r="Z2" s="1">
        <f t="shared" ca="1" si="0"/>
        <v>36</v>
      </c>
      <c r="AA2" s="1">
        <f t="shared" ca="1" si="0"/>
        <v>12</v>
      </c>
      <c r="AB2" s="1">
        <f t="shared" ca="1" si="0"/>
        <v>20</v>
      </c>
      <c r="AC2" s="1">
        <f t="shared" ca="1" si="0"/>
        <v>57</v>
      </c>
      <c r="AD2" s="1">
        <f t="shared" ca="1" si="0"/>
        <v>86</v>
      </c>
      <c r="AE2" s="1">
        <f t="shared" ca="1" si="0"/>
        <v>98</v>
      </c>
      <c r="AF2" s="1">
        <f t="shared" ca="1" si="0"/>
        <v>44</v>
      </c>
      <c r="AG2" s="1">
        <f t="shared" ca="1" si="0"/>
        <v>44</v>
      </c>
      <c r="AH2" s="1"/>
      <c r="AI2" s="1">
        <f t="shared" ca="1" si="0"/>
        <v>22</v>
      </c>
      <c r="AJ2" s="1">
        <f t="shared" ca="1" si="0"/>
        <v>10</v>
      </c>
      <c r="AK2" s="1">
        <f t="shared" ca="1" si="0"/>
        <v>19</v>
      </c>
      <c r="AL2" s="1">
        <f t="shared" ca="1" si="0"/>
        <v>2</v>
      </c>
      <c r="AM2" s="1">
        <f t="shared" ca="1" si="0"/>
        <v>41</v>
      </c>
      <c r="AN2" s="1">
        <f t="shared" ca="1" si="0"/>
        <v>18</v>
      </c>
      <c r="AO2" s="1">
        <f t="shared" ca="1" si="0"/>
        <v>78</v>
      </c>
      <c r="AP2" s="1">
        <f t="shared" ca="1" si="0"/>
        <v>3</v>
      </c>
      <c r="AQ2" s="1"/>
      <c r="AR2" s="1"/>
      <c r="AS2">
        <v>2</v>
      </c>
      <c r="AT2" t="s">
        <v>678</v>
      </c>
      <c r="AU2" s="9" t="s">
        <v>555</v>
      </c>
      <c r="AV2" s="9" t="s">
        <v>555</v>
      </c>
      <c r="AW2" s="9" t="s">
        <v>692</v>
      </c>
      <c r="AX2" s="9" t="s">
        <v>683</v>
      </c>
      <c r="AY2" s="16" t="s">
        <v>683</v>
      </c>
      <c r="AZ2" s="9" t="s">
        <v>692</v>
      </c>
      <c r="BA2" s="9" t="s">
        <v>695</v>
      </c>
      <c r="BB2" s="9" t="s">
        <v>696</v>
      </c>
      <c r="BC2" s="9" t="s">
        <v>165</v>
      </c>
      <c r="BD2" s="9" t="s">
        <v>555</v>
      </c>
      <c r="BE2" s="9" t="s">
        <v>635</v>
      </c>
      <c r="BF2" s="9" t="s">
        <v>650</v>
      </c>
      <c r="BG2" t="s">
        <v>679</v>
      </c>
      <c r="BH2">
        <v>3</v>
      </c>
      <c r="BK2">
        <f t="shared" ref="BK2:BV17" ca="1" si="1">RANDBETWEEN(1,100)</f>
        <v>25</v>
      </c>
      <c r="BL2">
        <f t="shared" ca="1" si="1"/>
        <v>59</v>
      </c>
      <c r="BM2">
        <f t="shared" ca="1" si="1"/>
        <v>62</v>
      </c>
      <c r="BN2">
        <f t="shared" ca="1" si="1"/>
        <v>96</v>
      </c>
      <c r="BO2">
        <f t="shared" ca="1" si="1"/>
        <v>71</v>
      </c>
      <c r="BP2">
        <f t="shared" ca="1" si="1"/>
        <v>37</v>
      </c>
      <c r="BQ2">
        <f t="shared" ca="1" si="1"/>
        <v>49</v>
      </c>
      <c r="BR2">
        <f t="shared" ca="1" si="1"/>
        <v>91</v>
      </c>
      <c r="BS2">
        <f t="shared" ca="1" si="1"/>
        <v>10</v>
      </c>
      <c r="BT2">
        <f t="shared" ca="1" si="1"/>
        <v>26</v>
      </c>
      <c r="BU2">
        <f t="shared" ca="1" si="1"/>
        <v>6</v>
      </c>
      <c r="BV2">
        <f t="shared" ca="1" si="1"/>
        <v>59</v>
      </c>
      <c r="BX2" s="15" t="s">
        <v>556</v>
      </c>
      <c r="BY2">
        <v>30</v>
      </c>
    </row>
    <row r="3" spans="1:77" s="20" customFormat="1" x14ac:dyDescent="0.3">
      <c r="A3" s="49">
        <v>2</v>
      </c>
      <c r="B3" s="19" t="str">
        <f t="shared" ref="B3:B28" ca="1" si="2">VLOOKUP(X3,$AS$1:$AT$100,2)</f>
        <v>Bastard</v>
      </c>
      <c r="C3" s="19" t="str">
        <f t="shared" ref="C3:C28" ca="1" si="3">VLOOKUP(Y3,$AS$1:$AV$100,VLOOKUP(B3,$BG$1:$BH$5,2))</f>
        <v>+2</v>
      </c>
      <c r="D3" s="19">
        <f t="shared" ref="D3:D28" ca="1" si="4">INT(VLOOKUP(AA3,$AS$1:$AW$100,5))</f>
        <v>0</v>
      </c>
      <c r="E3" s="19" t="str">
        <f t="shared" ref="E3:E28" ca="1" si="5">VLOOKUP(AA3,$AS$1:$AX$100,6)</f>
        <v>Nil</v>
      </c>
      <c r="F3" s="19" t="str">
        <f t="shared" ref="F3:F28" ca="1" si="6">IF(E3="Speech", VLOOKUP(AA3,$AS$1:$AY$100,7), "Nil")</f>
        <v>Nil</v>
      </c>
      <c r="G3" s="19" t="str">
        <f ca="1">IF(AB3&lt;=VLOOKUP(D3,'power prob array'!$A:$M,2), VLOOKUP(Swords!BK3,Swords!$AS:$BB,10), "")</f>
        <v/>
      </c>
      <c r="H3" s="19" t="str">
        <f ca="1">IF(AC3&lt;=VLOOKUP(D3,'power prob array'!$A:$M,3), VLOOKUP(Swords!BL3,Swords!$AS:$BB,10), "")</f>
        <v/>
      </c>
      <c r="I3" s="19" t="str">
        <f ca="1">IF(AD3&lt;=VLOOKUP(D3,'power prob array'!$A:$M,4), VLOOKUP(Swords!BM3,Swords!$AS:$BB,10), "")</f>
        <v/>
      </c>
      <c r="J3" s="19" t="str">
        <f ca="1">IF(AE3&lt;=VLOOKUP(D3,'power prob array'!$A:$M,5), VLOOKUP(Swords!BN3,Swords!$AS:$BB,10), "")</f>
        <v/>
      </c>
      <c r="K3" s="19" t="str">
        <f ca="1">IF(AF3&lt;=VLOOKUP(D3,'power prob array'!$A:$M,6), VLOOKUP(Swords!BO3,Swords!$AS:$BB,10), "")</f>
        <v/>
      </c>
      <c r="L3" s="19" t="str">
        <f ca="1">IF(AG3&lt;=VLOOKUP(D3,'power prob array'!$A:$M,7), VLOOKUP(Swords!BP3,Swords!$AS:$BB,10), "")</f>
        <v/>
      </c>
      <c r="M3" s="19" t="str">
        <f t="shared" ref="M3:M28" ca="1" si="7">IF(D3&gt;=11, "Yes", "No")</f>
        <v>No</v>
      </c>
      <c r="N3" s="19" t="str">
        <f ca="1">IF(AI3&lt;=VLOOKUP(D3,'power prob array'!$A:$M,8), VLOOKUP(Swords!BQ3,Swords!$AS:$BC,11), "")</f>
        <v/>
      </c>
      <c r="O3" s="19" t="str">
        <f ca="1">IF(AJ3&lt;=VLOOKUP(D3,'power prob array'!$A:$M,9), VLOOKUP(Swords!BR3,Swords!$AS:$BC,11), "")</f>
        <v/>
      </c>
      <c r="P3" s="19" t="str">
        <f ca="1">IF(AK3&lt;=VLOOKUP(D3,'power prob array'!$A:$M,10), VLOOKUP(Swords!BS3,Swords!$AS:$BC,11), "")</f>
        <v/>
      </c>
      <c r="Q3" s="19" t="str">
        <f ca="1">IF(AL3&lt;=VLOOKUP(D3,'power prob array'!$A:$M,11), VLOOKUP(Swords!BT3,Swords!$AS:$BC,11), "")</f>
        <v/>
      </c>
      <c r="R3" s="19" t="str">
        <f ca="1">IF(AM3&lt;=VLOOKUP(D3,'power prob array'!$A:$M,12), VLOOKUP(Swords!BU3,Swords!$AS:$BC,11), "")</f>
        <v/>
      </c>
      <c r="S3" s="19" t="str">
        <f ca="1">IF(AN3&lt;=VLOOKUP(D3,'power prob array'!$A:$M,13), VLOOKUP(Swords!BV3,Swords!$AS:$BC,11), "")</f>
        <v/>
      </c>
      <c r="T3" s="18" t="str">
        <f t="shared" ref="T3:T66" ca="1" si="8">IF(AO3&lt;=VLOOKUP(C3,$BX:$BY,2), VLOOKUP(AP3,$AS:$BF,12), "No")</f>
        <v>No</v>
      </c>
      <c r="U3" s="18" t="str" cm="1">
        <f t="array" aca="1" ref="U3" ca="1">_xlfn.IFS(T3="Talent", VLOOKUP(AP3,$AS:$BF,14), T3="No", "", 1=1, VLOOKUP(AP3,$AS:$BF,13))</f>
        <v/>
      </c>
      <c r="V3" s="1"/>
      <c r="W3" s="1"/>
      <c r="X3" s="1">
        <f t="shared" ca="1" si="0"/>
        <v>96</v>
      </c>
      <c r="Y3" s="1">
        <f t="shared" ca="1" si="0"/>
        <v>85</v>
      </c>
      <c r="Z3" s="1">
        <f t="shared" ca="1" si="0"/>
        <v>31</v>
      </c>
      <c r="AA3" s="1">
        <f t="shared" ca="1" si="0"/>
        <v>33</v>
      </c>
      <c r="AB3" s="1">
        <f t="shared" ca="1" si="0"/>
        <v>65</v>
      </c>
      <c r="AC3" s="1">
        <f t="shared" ca="1" si="0"/>
        <v>40</v>
      </c>
      <c r="AD3" s="1">
        <f t="shared" ca="1" si="0"/>
        <v>95</v>
      </c>
      <c r="AE3" s="1">
        <f t="shared" ca="1" si="0"/>
        <v>29</v>
      </c>
      <c r="AF3" s="1">
        <f t="shared" ca="1" si="0"/>
        <v>23</v>
      </c>
      <c r="AG3" s="1">
        <f t="shared" ca="1" si="0"/>
        <v>4</v>
      </c>
      <c r="AH3" s="1"/>
      <c r="AI3" s="1">
        <f t="shared" ca="1" si="0"/>
        <v>85</v>
      </c>
      <c r="AJ3" s="1">
        <f t="shared" ca="1" si="0"/>
        <v>69</v>
      </c>
      <c r="AK3" s="1">
        <f t="shared" ca="1" si="0"/>
        <v>56</v>
      </c>
      <c r="AL3" s="1">
        <f t="shared" ca="1" si="0"/>
        <v>90</v>
      </c>
      <c r="AM3" s="1">
        <f t="shared" ca="1" si="0"/>
        <v>77</v>
      </c>
      <c r="AN3" s="1">
        <f t="shared" ca="1" si="0"/>
        <v>38</v>
      </c>
      <c r="AO3" s="1">
        <f t="shared" ca="1" si="0"/>
        <v>64</v>
      </c>
      <c r="AP3" s="1">
        <f t="shared" ca="1" si="0"/>
        <v>1</v>
      </c>
      <c r="AQ3" s="1"/>
      <c r="AR3" s="1"/>
      <c r="AS3" s="20">
        <v>3</v>
      </c>
      <c r="AT3" s="20" t="s">
        <v>678</v>
      </c>
      <c r="AU3" s="21" t="s">
        <v>555</v>
      </c>
      <c r="AV3" s="21" t="s">
        <v>555</v>
      </c>
      <c r="AW3" s="21" t="s">
        <v>692</v>
      </c>
      <c r="AX3" s="21" t="s">
        <v>683</v>
      </c>
      <c r="AY3" s="22" t="s">
        <v>683</v>
      </c>
      <c r="AZ3" s="21" t="s">
        <v>692</v>
      </c>
      <c r="BA3" s="21" t="s">
        <v>695</v>
      </c>
      <c r="BB3" s="21" t="s">
        <v>696</v>
      </c>
      <c r="BC3" s="21" t="s">
        <v>165</v>
      </c>
      <c r="BD3" s="21" t="s">
        <v>555</v>
      </c>
      <c r="BE3" s="21" t="s">
        <v>635</v>
      </c>
      <c r="BF3" s="21" t="s">
        <v>650</v>
      </c>
      <c r="BG3" s="20" t="s">
        <v>681</v>
      </c>
      <c r="BH3" s="20">
        <v>4</v>
      </c>
      <c r="BK3" s="20">
        <f t="shared" ca="1" si="1"/>
        <v>47</v>
      </c>
      <c r="BL3" s="20">
        <f t="shared" ca="1" si="1"/>
        <v>93</v>
      </c>
      <c r="BM3" s="20">
        <f t="shared" ca="1" si="1"/>
        <v>36</v>
      </c>
      <c r="BN3" s="20">
        <f t="shared" ca="1" si="1"/>
        <v>25</v>
      </c>
      <c r="BO3" s="20">
        <f t="shared" ca="1" si="1"/>
        <v>11</v>
      </c>
      <c r="BP3" s="20">
        <f t="shared" ca="1" si="1"/>
        <v>55</v>
      </c>
      <c r="BQ3" s="20">
        <f t="shared" ca="1" si="1"/>
        <v>46</v>
      </c>
      <c r="BR3" s="20">
        <f t="shared" ca="1" si="1"/>
        <v>100</v>
      </c>
      <c r="BS3" s="20">
        <f t="shared" ca="1" si="1"/>
        <v>79</v>
      </c>
      <c r="BT3" s="20">
        <f t="shared" ca="1" si="1"/>
        <v>81</v>
      </c>
      <c r="BU3" s="20">
        <f t="shared" ca="1" si="1"/>
        <v>83</v>
      </c>
      <c r="BV3" s="20">
        <f t="shared" ca="1" si="1"/>
        <v>73</v>
      </c>
      <c r="BX3" s="23" t="s">
        <v>557</v>
      </c>
      <c r="BY3" s="20">
        <v>25</v>
      </c>
    </row>
    <row r="4" spans="1:77" x14ac:dyDescent="0.3">
      <c r="A4" s="49">
        <v>3</v>
      </c>
      <c r="B4" s="18" t="str">
        <f t="shared" ca="1" si="2"/>
        <v>Normal</v>
      </c>
      <c r="C4" s="18" t="str">
        <f t="shared" ca="1" si="3"/>
        <v>+1</v>
      </c>
      <c r="D4" s="18">
        <f t="shared" ca="1" si="4"/>
        <v>0</v>
      </c>
      <c r="E4" s="18" t="str">
        <f t="shared" ca="1" si="5"/>
        <v>Nil</v>
      </c>
      <c r="F4" s="18" t="str">
        <f t="shared" ca="1" si="6"/>
        <v>Nil</v>
      </c>
      <c r="G4" s="18" t="str">
        <f ca="1">IF(AB4&lt;=VLOOKUP(D4,'power prob array'!$A:$M,2), VLOOKUP(Swords!BK4,Swords!$AS:$BB,10), "")</f>
        <v/>
      </c>
      <c r="H4" s="18" t="str">
        <f ca="1">IF(AC4&lt;=VLOOKUP(D4,'power prob array'!$A:$M,3), VLOOKUP(Swords!BL4,Swords!$AS:$BB,10), "")</f>
        <v/>
      </c>
      <c r="I4" s="18" t="str">
        <f ca="1">IF(AD4&lt;=VLOOKUP(D4,'power prob array'!$A:$M,4), VLOOKUP(Swords!BM4,Swords!$AS:$BB,10), "")</f>
        <v/>
      </c>
      <c r="J4" s="18" t="str">
        <f ca="1">IF(AE4&lt;=VLOOKUP(D4,'power prob array'!$A:$M,5), VLOOKUP(Swords!BN4,Swords!$AS:$BB,10), "")</f>
        <v/>
      </c>
      <c r="K4" s="18" t="str">
        <f ca="1">IF(AF4&lt;=VLOOKUP(D4,'power prob array'!$A:$M,6), VLOOKUP(Swords!BO4,Swords!$AS:$BB,10), "")</f>
        <v/>
      </c>
      <c r="L4" s="18" t="str">
        <f ca="1">IF(AG4&lt;=VLOOKUP(D4,'power prob array'!$A:$M,7), VLOOKUP(Swords!BP4,Swords!$AS:$BB,10), "")</f>
        <v/>
      </c>
      <c r="M4" s="18" t="str">
        <f t="shared" ca="1" si="7"/>
        <v>No</v>
      </c>
      <c r="N4" s="18" t="str">
        <f ca="1">IF(AI4&lt;=VLOOKUP(D4,'power prob array'!$A:$M,8), VLOOKUP(Swords!BQ4,Swords!$AS:$BC,11), "")</f>
        <v/>
      </c>
      <c r="O4" s="18" t="str">
        <f ca="1">IF(AJ4&lt;=VLOOKUP(D4,'power prob array'!$A:$M,9), VLOOKUP(Swords!BR4,Swords!$AS:$BC,11), "")</f>
        <v/>
      </c>
      <c r="P4" s="18" t="str">
        <f ca="1">IF(AK4&lt;=VLOOKUP(D4,'power prob array'!$A:$M,10), VLOOKUP(Swords!BS4,Swords!$AS:$BC,11), "")</f>
        <v/>
      </c>
      <c r="Q4" s="18" t="str">
        <f ca="1">IF(AL4&lt;=VLOOKUP(D4,'power prob array'!$A:$M,11), VLOOKUP(Swords!BT4,Swords!$AS:$BC,11), "")</f>
        <v/>
      </c>
      <c r="R4" s="18" t="str">
        <f ca="1">IF(AM4&lt;=VLOOKUP(D4,'power prob array'!$A:$M,12), VLOOKUP(Swords!BU4,Swords!$AS:$BC,11), "")</f>
        <v/>
      </c>
      <c r="S4" s="18" t="str">
        <f ca="1">IF(AN4&lt;=VLOOKUP(D4,'power prob array'!$A:$M,13), VLOOKUP(Swords!BV4,Swords!$AS:$BC,11), "")</f>
        <v/>
      </c>
      <c r="T4" s="18" t="str">
        <f t="shared" ca="1" si="8"/>
        <v>+1</v>
      </c>
      <c r="U4" s="18" t="str" cm="1">
        <f t="array" aca="1" ref="U4" ca="1">_xlfn.IFS(T4="Talent", VLOOKUP(AP4,$AS:$BF,14), T4="No", "", 1=1, VLOOKUP(AP4,$AS:$BF,13))</f>
        <v>Constructs</v>
      </c>
      <c r="V4" s="1"/>
      <c r="W4" s="1"/>
      <c r="X4" s="1">
        <f t="shared" ca="1" si="0"/>
        <v>31</v>
      </c>
      <c r="Y4" s="1">
        <f t="shared" ca="1" si="0"/>
        <v>24</v>
      </c>
      <c r="Z4" s="1">
        <f t="shared" ca="1" si="0"/>
        <v>34</v>
      </c>
      <c r="AA4" s="1">
        <f t="shared" ca="1" si="0"/>
        <v>3</v>
      </c>
      <c r="AB4" s="1">
        <f t="shared" ca="1" si="0"/>
        <v>12</v>
      </c>
      <c r="AC4" s="1">
        <f t="shared" ca="1" si="0"/>
        <v>21</v>
      </c>
      <c r="AD4" s="1">
        <f t="shared" ca="1" si="0"/>
        <v>29</v>
      </c>
      <c r="AE4" s="1">
        <f t="shared" ca="1" si="0"/>
        <v>28</v>
      </c>
      <c r="AF4" s="1">
        <f t="shared" ca="1" si="0"/>
        <v>26</v>
      </c>
      <c r="AG4" s="1">
        <f t="shared" ca="1" si="0"/>
        <v>93</v>
      </c>
      <c r="AH4" s="1"/>
      <c r="AI4" s="1">
        <f t="shared" ca="1" si="0"/>
        <v>32</v>
      </c>
      <c r="AJ4" s="1">
        <f t="shared" ca="1" si="0"/>
        <v>54</v>
      </c>
      <c r="AK4" s="1">
        <f t="shared" ca="1" si="0"/>
        <v>77</v>
      </c>
      <c r="AL4" s="1">
        <f t="shared" ca="1" si="0"/>
        <v>6</v>
      </c>
      <c r="AM4" s="1">
        <f t="shared" ca="1" si="0"/>
        <v>73</v>
      </c>
      <c r="AN4" s="1">
        <f t="shared" ca="1" si="0"/>
        <v>50</v>
      </c>
      <c r="AO4" s="1">
        <f t="shared" ca="1" si="0"/>
        <v>23</v>
      </c>
      <c r="AP4" s="1">
        <f t="shared" ca="1" si="0"/>
        <v>9</v>
      </c>
      <c r="AQ4" s="1"/>
      <c r="AR4" s="1"/>
      <c r="AS4">
        <v>4</v>
      </c>
      <c r="AT4" t="s">
        <v>678</v>
      </c>
      <c r="AU4" s="9" t="s">
        <v>555</v>
      </c>
      <c r="AV4" s="9" t="s">
        <v>555</v>
      </c>
      <c r="AW4" s="9" t="s">
        <v>692</v>
      </c>
      <c r="AX4" s="9" t="s">
        <v>683</v>
      </c>
      <c r="AY4" s="16" t="s">
        <v>683</v>
      </c>
      <c r="AZ4" s="9" t="s">
        <v>692</v>
      </c>
      <c r="BA4" s="9" t="s">
        <v>695</v>
      </c>
      <c r="BB4" s="9" t="s">
        <v>696</v>
      </c>
      <c r="BC4" s="9" t="s">
        <v>165</v>
      </c>
      <c r="BD4" s="9" t="s">
        <v>555</v>
      </c>
      <c r="BE4" s="9" t="s">
        <v>635</v>
      </c>
      <c r="BF4" s="9" t="s">
        <v>650</v>
      </c>
      <c r="BG4" t="s">
        <v>682</v>
      </c>
      <c r="BH4">
        <v>4</v>
      </c>
      <c r="BK4">
        <f t="shared" ca="1" si="1"/>
        <v>33</v>
      </c>
      <c r="BL4">
        <f t="shared" ca="1" si="1"/>
        <v>71</v>
      </c>
      <c r="BM4">
        <f t="shared" ca="1" si="1"/>
        <v>25</v>
      </c>
      <c r="BN4">
        <f t="shared" ca="1" si="1"/>
        <v>28</v>
      </c>
      <c r="BO4">
        <f t="shared" ca="1" si="1"/>
        <v>86</v>
      </c>
      <c r="BP4">
        <f t="shared" ca="1" si="1"/>
        <v>87</v>
      </c>
      <c r="BQ4">
        <f t="shared" ca="1" si="1"/>
        <v>12</v>
      </c>
      <c r="BR4">
        <f t="shared" ca="1" si="1"/>
        <v>72</v>
      </c>
      <c r="BS4">
        <f t="shared" ca="1" si="1"/>
        <v>85</v>
      </c>
      <c r="BT4">
        <f t="shared" ca="1" si="1"/>
        <v>64</v>
      </c>
      <c r="BU4">
        <f t="shared" ca="1" si="1"/>
        <v>18</v>
      </c>
      <c r="BV4">
        <f t="shared" ca="1" si="1"/>
        <v>5</v>
      </c>
      <c r="BX4" s="15" t="s">
        <v>558</v>
      </c>
      <c r="BY4">
        <v>20</v>
      </c>
    </row>
    <row r="5" spans="1:77" s="20" customFormat="1" x14ac:dyDescent="0.3">
      <c r="A5" s="49">
        <v>4</v>
      </c>
      <c r="B5" s="19" t="str">
        <f t="shared" ca="1" si="2"/>
        <v>Short</v>
      </c>
      <c r="C5" s="19" t="str">
        <f t="shared" ca="1" si="3"/>
        <v>+1</v>
      </c>
      <c r="D5" s="19">
        <f t="shared" ca="1" si="4"/>
        <v>9</v>
      </c>
      <c r="E5" s="19" t="str">
        <f t="shared" ca="1" si="5"/>
        <v>Empathy</v>
      </c>
      <c r="F5" s="19" t="str">
        <f t="shared" ca="1" si="6"/>
        <v>Nil</v>
      </c>
      <c r="G5" s="19" t="str">
        <f ca="1">IF(AB5&lt;=VLOOKUP(D5,'power prob array'!$A:$M,2), VLOOKUP(Swords!BK5,Swords!$AS:$BB,10), "")</f>
        <v>Detect Sloping Passages</v>
      </c>
      <c r="H5" s="19" t="str">
        <f ca="1">IF(AC5&lt;=VLOOKUP(D5,'power prob array'!$A:$M,3), VLOOKUP(Swords!BL5,Swords!$AS:$BB,10), "")</f>
        <v>Detect Sloping Passages</v>
      </c>
      <c r="I5" s="19" t="str">
        <f ca="1">IF(AD5&lt;=VLOOKUP(D5,'power prob array'!$A:$M,4), VLOOKUP(Swords!BM5,Swords!$AS:$BB,10), "")</f>
        <v>Detect Shifting Walls and Rooms</v>
      </c>
      <c r="J5" s="19" t="str">
        <f ca="1">IF(AE5&lt;=VLOOKUP(D5,'power prob array'!$A:$M,5), VLOOKUP(Swords!BN5,Swords!$AS:$BB,10), "")</f>
        <v/>
      </c>
      <c r="K5" s="19" t="str">
        <f ca="1">IF(AF5&lt;=VLOOKUP(D5,'power prob array'!$A:$M,6), VLOOKUP(Swords!BO5,Swords!$AS:$BB,10), "")</f>
        <v/>
      </c>
      <c r="L5" s="19" t="str">
        <f ca="1">IF(AG5&lt;=VLOOKUP(D5,'power prob array'!$A:$M,7), VLOOKUP(Swords!BP5,Swords!$AS:$BB,10), "")</f>
        <v/>
      </c>
      <c r="M5" s="19" t="str">
        <f t="shared" ca="1" si="7"/>
        <v>No</v>
      </c>
      <c r="N5" s="19" t="str">
        <f ca="1">IF(AI5&lt;=VLOOKUP(D5,'power prob array'!$A:$M,8), VLOOKUP(Swords!BQ5,Swords!$AS:$BC,11), "")</f>
        <v/>
      </c>
      <c r="O5" s="19" t="str">
        <f ca="1">IF(AJ5&lt;=VLOOKUP(D5,'power prob array'!$A:$M,9), VLOOKUP(Swords!BR5,Swords!$AS:$BC,11), "")</f>
        <v/>
      </c>
      <c r="P5" s="19" t="str">
        <f ca="1">IF(AK5&lt;=VLOOKUP(D5,'power prob array'!$A:$M,10), VLOOKUP(Swords!BS5,Swords!$AS:$BC,11), "")</f>
        <v/>
      </c>
      <c r="Q5" s="19" t="str">
        <f ca="1">IF(AL5&lt;=VLOOKUP(D5,'power prob array'!$A:$M,11), VLOOKUP(Swords!BT5,Swords!$AS:$BC,11), "")</f>
        <v/>
      </c>
      <c r="R5" s="19" t="str">
        <f ca="1">IF(AM5&lt;=VLOOKUP(D5,'power prob array'!$A:$M,12), VLOOKUP(Swords!BU5,Swords!$AS:$BC,11), "")</f>
        <v/>
      </c>
      <c r="S5" s="19" t="str">
        <f ca="1">IF(AN5&lt;=VLOOKUP(D5,'power prob array'!$A:$M,13), VLOOKUP(Swords!BV5,Swords!$AS:$BC,11), "")</f>
        <v/>
      </c>
      <c r="T5" s="18" t="str">
        <f t="shared" ca="1" si="8"/>
        <v>+3</v>
      </c>
      <c r="U5" s="18" t="str" cm="1">
        <f t="array" aca="1" ref="U5" ca="1">_xlfn.IFS(T5="Talent", VLOOKUP(AP5,$AS:$BF,14), T5="No", "", 1=1, VLOOKUP(AP5,$AS:$BF,13))</f>
        <v>Reptiles and Dinosaurs</v>
      </c>
      <c r="V5" s="1"/>
      <c r="W5" s="1"/>
      <c r="X5" s="1">
        <f t="shared" ca="1" si="0"/>
        <v>70</v>
      </c>
      <c r="Y5" s="1">
        <f t="shared" ca="1" si="0"/>
        <v>36</v>
      </c>
      <c r="Z5" s="1">
        <f t="shared" ca="1" si="0"/>
        <v>75</v>
      </c>
      <c r="AA5" s="1">
        <f t="shared" ca="1" si="0"/>
        <v>93</v>
      </c>
      <c r="AB5" s="1">
        <f t="shared" ca="1" si="0"/>
        <v>25</v>
      </c>
      <c r="AC5" s="1">
        <f t="shared" ca="1" si="0"/>
        <v>43</v>
      </c>
      <c r="AD5" s="1">
        <f t="shared" ca="1" si="0"/>
        <v>11</v>
      </c>
      <c r="AE5" s="1">
        <f t="shared" ca="1" si="0"/>
        <v>59</v>
      </c>
      <c r="AF5" s="1">
        <f t="shared" ca="1" si="0"/>
        <v>80</v>
      </c>
      <c r="AG5" s="1">
        <f t="shared" ca="1" si="0"/>
        <v>88</v>
      </c>
      <c r="AH5" s="1"/>
      <c r="AI5" s="1">
        <f t="shared" ca="1" si="0"/>
        <v>39</v>
      </c>
      <c r="AJ5" s="1">
        <f t="shared" ca="1" si="0"/>
        <v>54</v>
      </c>
      <c r="AK5" s="1">
        <f t="shared" ca="1" si="0"/>
        <v>86</v>
      </c>
      <c r="AL5" s="1">
        <f t="shared" ca="1" si="0"/>
        <v>33</v>
      </c>
      <c r="AM5" s="1">
        <f t="shared" ca="1" si="0"/>
        <v>5</v>
      </c>
      <c r="AN5" s="1">
        <f t="shared" ca="1" si="0"/>
        <v>13</v>
      </c>
      <c r="AO5" s="1">
        <f t="shared" ca="1" si="0"/>
        <v>38</v>
      </c>
      <c r="AP5" s="1">
        <f t="shared" ca="1" si="0"/>
        <v>63</v>
      </c>
      <c r="AQ5" s="1"/>
      <c r="AR5" s="1"/>
      <c r="AS5" s="20">
        <v>5</v>
      </c>
      <c r="AT5" s="20" t="s">
        <v>678</v>
      </c>
      <c r="AU5" s="21" t="s">
        <v>555</v>
      </c>
      <c r="AV5" s="21" t="s">
        <v>555</v>
      </c>
      <c r="AW5" s="21" t="s">
        <v>692</v>
      </c>
      <c r="AX5" s="21" t="s">
        <v>683</v>
      </c>
      <c r="AY5" s="22" t="s">
        <v>683</v>
      </c>
      <c r="AZ5" s="21" t="s">
        <v>692</v>
      </c>
      <c r="BA5" s="21" t="s">
        <v>695</v>
      </c>
      <c r="BB5" s="21" t="s">
        <v>696</v>
      </c>
      <c r="BC5" s="21" t="s">
        <v>165</v>
      </c>
      <c r="BD5" s="21" t="s">
        <v>555</v>
      </c>
      <c r="BE5" s="21" t="s">
        <v>635</v>
      </c>
      <c r="BF5" s="21" t="s">
        <v>650</v>
      </c>
      <c r="BK5" s="20">
        <f t="shared" ca="1" si="1"/>
        <v>99</v>
      </c>
      <c r="BL5" s="20">
        <f t="shared" ca="1" si="1"/>
        <v>54</v>
      </c>
      <c r="BM5" s="20">
        <f t="shared" ca="1" si="1"/>
        <v>47</v>
      </c>
      <c r="BN5" s="20">
        <f t="shared" ca="1" si="1"/>
        <v>74</v>
      </c>
      <c r="BO5" s="20">
        <f t="shared" ca="1" si="1"/>
        <v>94</v>
      </c>
      <c r="BP5" s="20">
        <f t="shared" ca="1" si="1"/>
        <v>31</v>
      </c>
      <c r="BQ5" s="20">
        <f t="shared" ca="1" si="1"/>
        <v>92</v>
      </c>
      <c r="BR5" s="20">
        <f t="shared" ca="1" si="1"/>
        <v>48</v>
      </c>
      <c r="BS5" s="20">
        <f t="shared" ca="1" si="1"/>
        <v>18</v>
      </c>
      <c r="BT5" s="20">
        <f t="shared" ca="1" si="1"/>
        <v>67</v>
      </c>
      <c r="BU5" s="20">
        <f t="shared" ca="1" si="1"/>
        <v>68</v>
      </c>
      <c r="BV5" s="20">
        <f t="shared" ca="1" si="1"/>
        <v>27</v>
      </c>
      <c r="BX5" s="23" t="s">
        <v>559</v>
      </c>
      <c r="BY5" s="20">
        <v>15</v>
      </c>
    </row>
    <row r="6" spans="1:77" x14ac:dyDescent="0.3">
      <c r="A6" s="49">
        <v>5</v>
      </c>
      <c r="B6" s="18" t="str">
        <f t="shared" ca="1" si="2"/>
        <v>Normal</v>
      </c>
      <c r="C6" s="18" t="str">
        <f t="shared" ca="1" si="3"/>
        <v>+1</v>
      </c>
      <c r="D6" s="18">
        <f t="shared" ca="1" si="4"/>
        <v>0</v>
      </c>
      <c r="E6" s="18" t="str">
        <f t="shared" ca="1" si="5"/>
        <v>Nil</v>
      </c>
      <c r="F6" s="18" t="str">
        <f t="shared" ca="1" si="6"/>
        <v>Nil</v>
      </c>
      <c r="G6" s="18" t="str">
        <f ca="1">IF(AB6&lt;=VLOOKUP(D6,'power prob array'!$A:$M,2), VLOOKUP(Swords!BK6,Swords!$AS:$BB,10), "")</f>
        <v/>
      </c>
      <c r="H6" s="18" t="str">
        <f ca="1">IF(AC6&lt;=VLOOKUP(D6,'power prob array'!$A:$M,3), VLOOKUP(Swords!BL6,Swords!$AS:$BB,10), "")</f>
        <v/>
      </c>
      <c r="I6" s="18" t="str">
        <f ca="1">IF(AD6&lt;=VLOOKUP(D6,'power prob array'!$A:$M,4), VLOOKUP(Swords!BM6,Swords!$AS:$BB,10), "")</f>
        <v/>
      </c>
      <c r="J6" s="18" t="str">
        <f ca="1">IF(AE6&lt;=VLOOKUP(D6,'power prob array'!$A:$M,5), VLOOKUP(Swords!BN6,Swords!$AS:$BB,10), "")</f>
        <v/>
      </c>
      <c r="K6" s="18" t="str">
        <f ca="1">IF(AF6&lt;=VLOOKUP(D6,'power prob array'!$A:$M,6), VLOOKUP(Swords!BO6,Swords!$AS:$BB,10), "")</f>
        <v/>
      </c>
      <c r="L6" s="18" t="str">
        <f ca="1">IF(AG6&lt;=VLOOKUP(D6,'power prob array'!$A:$M,7), VLOOKUP(Swords!BP6,Swords!$AS:$BB,10), "")</f>
        <v/>
      </c>
      <c r="M6" s="18" t="str">
        <f t="shared" ca="1" si="7"/>
        <v>No</v>
      </c>
      <c r="N6" s="18" t="str">
        <f ca="1">IF(AI6&lt;=VLOOKUP(D6,'power prob array'!$A:$M,8), VLOOKUP(Swords!BQ6,Swords!$AS:$BC,11), "")</f>
        <v/>
      </c>
      <c r="O6" s="18" t="str">
        <f ca="1">IF(AJ6&lt;=VLOOKUP(D6,'power prob array'!$A:$M,9), VLOOKUP(Swords!BR6,Swords!$AS:$BC,11), "")</f>
        <v/>
      </c>
      <c r="P6" s="18" t="str">
        <f ca="1">IF(AK6&lt;=VLOOKUP(D6,'power prob array'!$A:$M,10), VLOOKUP(Swords!BS6,Swords!$AS:$BC,11), "")</f>
        <v/>
      </c>
      <c r="Q6" s="18" t="str">
        <f ca="1">IF(AL6&lt;=VLOOKUP(D6,'power prob array'!$A:$M,11), VLOOKUP(Swords!BT6,Swords!$AS:$BC,11), "")</f>
        <v/>
      </c>
      <c r="R6" s="18" t="str">
        <f ca="1">IF(AM6&lt;=VLOOKUP(D6,'power prob array'!$A:$M,12), VLOOKUP(Swords!BU6,Swords!$AS:$BC,11), "")</f>
        <v/>
      </c>
      <c r="S6" s="18" t="str">
        <f ca="1">IF(AN6&lt;=VLOOKUP(D6,'power prob array'!$A:$M,13), VLOOKUP(Swords!BV6,Swords!$AS:$BC,11), "")</f>
        <v/>
      </c>
      <c r="T6" s="18" t="str">
        <f t="shared" ca="1" si="8"/>
        <v>No</v>
      </c>
      <c r="U6" s="18" t="str" cm="1">
        <f t="array" aca="1" ref="U6" ca="1">_xlfn.IFS(T6="Talent", VLOOKUP(AP6,$AS:$BF,14), T6="No", "", 1=1, VLOOKUP(AP6,$AS:$BF,13))</f>
        <v/>
      </c>
      <c r="V6" s="1"/>
      <c r="W6" s="1"/>
      <c r="X6" s="1">
        <f t="shared" ca="1" si="0"/>
        <v>50</v>
      </c>
      <c r="Y6" s="1">
        <f t="shared" ca="1" si="0"/>
        <v>60</v>
      </c>
      <c r="Z6" s="1">
        <f t="shared" ca="1" si="0"/>
        <v>81</v>
      </c>
      <c r="AA6" s="1">
        <f t="shared" ca="1" si="0"/>
        <v>17</v>
      </c>
      <c r="AB6" s="1">
        <f t="shared" ca="1" si="0"/>
        <v>41</v>
      </c>
      <c r="AC6" s="1">
        <f t="shared" ca="1" si="0"/>
        <v>89</v>
      </c>
      <c r="AD6" s="1">
        <f t="shared" ca="1" si="0"/>
        <v>59</v>
      </c>
      <c r="AE6" s="1">
        <f t="shared" ca="1" si="0"/>
        <v>64</v>
      </c>
      <c r="AF6" s="1">
        <f t="shared" ca="1" si="0"/>
        <v>39</v>
      </c>
      <c r="AG6" s="1">
        <f t="shared" ca="1" si="0"/>
        <v>55</v>
      </c>
      <c r="AH6" s="1"/>
      <c r="AI6" s="1">
        <f t="shared" ca="1" si="0"/>
        <v>50</v>
      </c>
      <c r="AJ6" s="1">
        <f t="shared" ca="1" si="0"/>
        <v>47</v>
      </c>
      <c r="AK6" s="1">
        <f t="shared" ca="1" si="0"/>
        <v>59</v>
      </c>
      <c r="AL6" s="1">
        <f t="shared" ca="1" si="0"/>
        <v>78</v>
      </c>
      <c r="AM6" s="1">
        <f t="shared" ca="1" si="0"/>
        <v>80</v>
      </c>
      <c r="AN6" s="1">
        <f t="shared" ca="1" si="0"/>
        <v>9</v>
      </c>
      <c r="AO6" s="1">
        <f t="shared" ca="1" si="0"/>
        <v>98</v>
      </c>
      <c r="AP6" s="1">
        <f t="shared" ca="1" si="0"/>
        <v>76</v>
      </c>
      <c r="AQ6" s="1"/>
      <c r="AR6" s="1"/>
      <c r="AS6">
        <v>6</v>
      </c>
      <c r="AT6" t="s">
        <v>678</v>
      </c>
      <c r="AU6" s="9" t="s">
        <v>555</v>
      </c>
      <c r="AV6" s="9" t="s">
        <v>555</v>
      </c>
      <c r="AW6" s="9" t="s">
        <v>692</v>
      </c>
      <c r="AX6" s="9" t="s">
        <v>683</v>
      </c>
      <c r="AY6" s="16" t="s">
        <v>683</v>
      </c>
      <c r="AZ6" s="9" t="s">
        <v>692</v>
      </c>
      <c r="BA6" s="9" t="s">
        <v>695</v>
      </c>
      <c r="BB6" s="9" t="s">
        <v>696</v>
      </c>
      <c r="BC6" s="9" t="s">
        <v>165</v>
      </c>
      <c r="BD6" s="9" t="s">
        <v>555</v>
      </c>
      <c r="BE6" s="9" t="s">
        <v>635</v>
      </c>
      <c r="BF6" s="9" t="s">
        <v>617</v>
      </c>
      <c r="BK6">
        <f t="shared" ca="1" si="1"/>
        <v>67</v>
      </c>
      <c r="BL6">
        <f t="shared" ca="1" si="1"/>
        <v>89</v>
      </c>
      <c r="BM6">
        <f t="shared" ca="1" si="1"/>
        <v>20</v>
      </c>
      <c r="BN6">
        <f t="shared" ca="1" si="1"/>
        <v>51</v>
      </c>
      <c r="BO6">
        <f t="shared" ca="1" si="1"/>
        <v>22</v>
      </c>
      <c r="BP6">
        <f t="shared" ca="1" si="1"/>
        <v>70</v>
      </c>
      <c r="BQ6">
        <f t="shared" ca="1" si="1"/>
        <v>51</v>
      </c>
      <c r="BR6">
        <f t="shared" ca="1" si="1"/>
        <v>47</v>
      </c>
      <c r="BS6">
        <f t="shared" ca="1" si="1"/>
        <v>8</v>
      </c>
      <c r="BT6">
        <f t="shared" ca="1" si="1"/>
        <v>58</v>
      </c>
      <c r="BU6">
        <f t="shared" ca="1" si="1"/>
        <v>47</v>
      </c>
      <c r="BV6">
        <f t="shared" ca="1" si="1"/>
        <v>75</v>
      </c>
    </row>
    <row r="7" spans="1:77" s="20" customFormat="1" x14ac:dyDescent="0.3">
      <c r="A7" s="49">
        <v>6</v>
      </c>
      <c r="B7" s="19" t="str">
        <f t="shared" ca="1" si="2"/>
        <v>Bastard</v>
      </c>
      <c r="C7" s="19" t="str">
        <f t="shared" ca="1" si="3"/>
        <v>+2</v>
      </c>
      <c r="D7" s="19">
        <f t="shared" ca="1" si="4"/>
        <v>0</v>
      </c>
      <c r="E7" s="19" t="str">
        <f t="shared" ca="1" si="5"/>
        <v>Nil</v>
      </c>
      <c r="F7" s="19" t="str">
        <f t="shared" ca="1" si="6"/>
        <v>Nil</v>
      </c>
      <c r="G7" s="19" t="str">
        <f ca="1">IF(AB7&lt;=VLOOKUP(D7,'power prob array'!$A:$M,2), VLOOKUP(Swords!BK7,Swords!$AS:$BB,10), "")</f>
        <v/>
      </c>
      <c r="H7" s="19" t="str">
        <f ca="1">IF(AC7&lt;=VLOOKUP(D7,'power prob array'!$A:$M,3), VLOOKUP(Swords!BL7,Swords!$AS:$BB,10), "")</f>
        <v/>
      </c>
      <c r="I7" s="19" t="str">
        <f ca="1">IF(AD7&lt;=VLOOKUP(D7,'power prob array'!$A:$M,4), VLOOKUP(Swords!BM7,Swords!$AS:$BB,10), "")</f>
        <v/>
      </c>
      <c r="J7" s="19" t="str">
        <f ca="1">IF(AE7&lt;=VLOOKUP(D7,'power prob array'!$A:$M,5), VLOOKUP(Swords!BN7,Swords!$AS:$BB,10), "")</f>
        <v/>
      </c>
      <c r="K7" s="19" t="str">
        <f ca="1">IF(AF7&lt;=VLOOKUP(D7,'power prob array'!$A:$M,6), VLOOKUP(Swords!BO7,Swords!$AS:$BB,10), "")</f>
        <v/>
      </c>
      <c r="L7" s="19" t="str">
        <f ca="1">IF(AG7&lt;=VLOOKUP(D7,'power prob array'!$A:$M,7), VLOOKUP(Swords!BP7,Swords!$AS:$BB,10), "")</f>
        <v/>
      </c>
      <c r="M7" s="19" t="str">
        <f t="shared" ca="1" si="7"/>
        <v>No</v>
      </c>
      <c r="N7" s="19" t="str">
        <f ca="1">IF(AI7&lt;=VLOOKUP(D7,'power prob array'!$A:$M,8), VLOOKUP(Swords!BQ7,Swords!$AS:$BC,11), "")</f>
        <v/>
      </c>
      <c r="O7" s="19" t="str">
        <f ca="1">IF(AJ7&lt;=VLOOKUP(D7,'power prob array'!$A:$M,9), VLOOKUP(Swords!BR7,Swords!$AS:$BC,11), "")</f>
        <v/>
      </c>
      <c r="P7" s="19" t="str">
        <f ca="1">IF(AK7&lt;=VLOOKUP(D7,'power prob array'!$A:$M,10), VLOOKUP(Swords!BS7,Swords!$AS:$BC,11), "")</f>
        <v/>
      </c>
      <c r="Q7" s="19" t="str">
        <f ca="1">IF(AL7&lt;=VLOOKUP(D7,'power prob array'!$A:$M,11), VLOOKUP(Swords!BT7,Swords!$AS:$BC,11), "")</f>
        <v/>
      </c>
      <c r="R7" s="19" t="str">
        <f ca="1">IF(AM7&lt;=VLOOKUP(D7,'power prob array'!$A:$M,12), VLOOKUP(Swords!BU7,Swords!$AS:$BC,11), "")</f>
        <v/>
      </c>
      <c r="S7" s="19" t="str">
        <f ca="1">IF(AN7&lt;=VLOOKUP(D7,'power prob array'!$A:$M,13), VLOOKUP(Swords!BV7,Swords!$AS:$BC,11), "")</f>
        <v/>
      </c>
      <c r="T7" s="18" t="str">
        <f t="shared" ca="1" si="8"/>
        <v>No</v>
      </c>
      <c r="U7" s="18" t="str" cm="1">
        <f t="array" aca="1" ref="U7" ca="1">_xlfn.IFS(T7="Talent", VLOOKUP(AP7,$AS:$BF,14), T7="No", "", 1=1, VLOOKUP(AP7,$AS:$BF,13))</f>
        <v/>
      </c>
      <c r="V7" s="1"/>
      <c r="W7" s="1"/>
      <c r="X7" s="1">
        <f t="shared" ca="1" si="0"/>
        <v>94</v>
      </c>
      <c r="Y7" s="1">
        <f t="shared" ca="1" si="0"/>
        <v>75</v>
      </c>
      <c r="Z7" s="1">
        <f t="shared" ca="1" si="0"/>
        <v>45</v>
      </c>
      <c r="AA7" s="1">
        <f t="shared" ca="1" si="0"/>
        <v>2</v>
      </c>
      <c r="AB7" s="1">
        <f t="shared" ca="1" si="0"/>
        <v>8</v>
      </c>
      <c r="AC7" s="1">
        <f t="shared" ca="1" si="0"/>
        <v>79</v>
      </c>
      <c r="AD7" s="1">
        <f t="shared" ca="1" si="0"/>
        <v>12</v>
      </c>
      <c r="AE7" s="1">
        <f t="shared" ca="1" si="0"/>
        <v>68</v>
      </c>
      <c r="AF7" s="1">
        <f t="shared" ca="1" si="0"/>
        <v>49</v>
      </c>
      <c r="AG7" s="1">
        <f t="shared" ca="1" si="0"/>
        <v>6</v>
      </c>
      <c r="AH7" s="1"/>
      <c r="AI7" s="1">
        <f t="shared" ca="1" si="0"/>
        <v>99</v>
      </c>
      <c r="AJ7" s="1">
        <f t="shared" ca="1" si="0"/>
        <v>39</v>
      </c>
      <c r="AK7" s="1">
        <f t="shared" ca="1" si="0"/>
        <v>59</v>
      </c>
      <c r="AL7" s="1">
        <f t="shared" ca="1" si="0"/>
        <v>27</v>
      </c>
      <c r="AM7" s="1">
        <f t="shared" ca="1" si="0"/>
        <v>36</v>
      </c>
      <c r="AN7" s="1">
        <f t="shared" ca="1" si="0"/>
        <v>68</v>
      </c>
      <c r="AO7" s="1">
        <f t="shared" ca="1" si="0"/>
        <v>32</v>
      </c>
      <c r="AP7" s="1">
        <f t="shared" ca="1" si="0"/>
        <v>71</v>
      </c>
      <c r="AQ7" s="1"/>
      <c r="AR7" s="1"/>
      <c r="AS7" s="20">
        <v>7</v>
      </c>
      <c r="AT7" s="20" t="s">
        <v>678</v>
      </c>
      <c r="AU7" s="21" t="s">
        <v>555</v>
      </c>
      <c r="AV7" s="21" t="s">
        <v>555</v>
      </c>
      <c r="AW7" s="21" t="s">
        <v>692</v>
      </c>
      <c r="AX7" s="21" t="s">
        <v>683</v>
      </c>
      <c r="AY7" s="22" t="s">
        <v>683</v>
      </c>
      <c r="AZ7" s="21" t="s">
        <v>692</v>
      </c>
      <c r="BA7" s="21" t="s">
        <v>695</v>
      </c>
      <c r="BB7" s="21" t="s">
        <v>696</v>
      </c>
      <c r="BC7" s="21" t="s">
        <v>165</v>
      </c>
      <c r="BD7" s="21" t="s">
        <v>555</v>
      </c>
      <c r="BE7" s="21" t="s">
        <v>636</v>
      </c>
      <c r="BF7" s="21" t="s">
        <v>617</v>
      </c>
      <c r="BK7" s="20">
        <f t="shared" ca="1" si="1"/>
        <v>7</v>
      </c>
      <c r="BL7" s="20">
        <f t="shared" ca="1" si="1"/>
        <v>52</v>
      </c>
      <c r="BM7" s="20">
        <f t="shared" ca="1" si="1"/>
        <v>32</v>
      </c>
      <c r="BN7" s="20">
        <f t="shared" ca="1" si="1"/>
        <v>98</v>
      </c>
      <c r="BO7" s="20">
        <f t="shared" ca="1" si="1"/>
        <v>15</v>
      </c>
      <c r="BP7" s="20">
        <f t="shared" ca="1" si="1"/>
        <v>48</v>
      </c>
      <c r="BQ7" s="20">
        <f t="shared" ca="1" si="1"/>
        <v>60</v>
      </c>
      <c r="BR7" s="20">
        <f t="shared" ca="1" si="1"/>
        <v>37</v>
      </c>
      <c r="BS7" s="20">
        <f t="shared" ca="1" si="1"/>
        <v>11</v>
      </c>
      <c r="BT7" s="20">
        <f t="shared" ca="1" si="1"/>
        <v>2</v>
      </c>
      <c r="BU7" s="20">
        <f t="shared" ca="1" si="1"/>
        <v>81</v>
      </c>
      <c r="BV7" s="20">
        <f t="shared" ca="1" si="1"/>
        <v>58</v>
      </c>
      <c r="BX7" s="23"/>
    </row>
    <row r="8" spans="1:77" x14ac:dyDescent="0.3">
      <c r="A8" s="49">
        <v>7</v>
      </c>
      <c r="B8" s="18" t="str">
        <f t="shared" ca="1" si="2"/>
        <v>Normal</v>
      </c>
      <c r="C8" s="18" t="str">
        <f t="shared" ca="1" si="3"/>
        <v>+1</v>
      </c>
      <c r="D8" s="18">
        <f t="shared" ca="1" si="4"/>
        <v>0</v>
      </c>
      <c r="E8" s="18" t="str">
        <f t="shared" ca="1" si="5"/>
        <v>Nil</v>
      </c>
      <c r="F8" s="18" t="str">
        <f t="shared" ca="1" si="6"/>
        <v>Nil</v>
      </c>
      <c r="G8" s="18" t="str">
        <f ca="1">IF(AB8&lt;=VLOOKUP(D8,'power prob array'!$A:$M,2), VLOOKUP(Swords!BK8,Swords!$AS:$BB,10), "")</f>
        <v/>
      </c>
      <c r="H8" s="18" t="str">
        <f ca="1">IF(AC8&lt;=VLOOKUP(D8,'power prob array'!$A:$M,3), VLOOKUP(Swords!BL8,Swords!$AS:$BB,10), "")</f>
        <v/>
      </c>
      <c r="I8" s="18" t="str">
        <f ca="1">IF(AD8&lt;=VLOOKUP(D8,'power prob array'!$A:$M,4), VLOOKUP(Swords!BM8,Swords!$AS:$BB,10), "")</f>
        <v/>
      </c>
      <c r="J8" s="18" t="str">
        <f ca="1">IF(AE8&lt;=VLOOKUP(D8,'power prob array'!$A:$M,5), VLOOKUP(Swords!BN8,Swords!$AS:$BB,10), "")</f>
        <v/>
      </c>
      <c r="K8" s="18" t="str">
        <f ca="1">IF(AF8&lt;=VLOOKUP(D8,'power prob array'!$A:$M,6), VLOOKUP(Swords!BO8,Swords!$AS:$BB,10), "")</f>
        <v/>
      </c>
      <c r="L8" s="18" t="str">
        <f ca="1">IF(AG8&lt;=VLOOKUP(D8,'power prob array'!$A:$M,7), VLOOKUP(Swords!BP8,Swords!$AS:$BB,10), "")</f>
        <v/>
      </c>
      <c r="M8" s="18" t="str">
        <f t="shared" ca="1" si="7"/>
        <v>No</v>
      </c>
      <c r="N8" s="18" t="str">
        <f ca="1">IF(AI8&lt;=VLOOKUP(D8,'power prob array'!$A:$M,8), VLOOKUP(Swords!BQ8,Swords!$AS:$BC,11), "")</f>
        <v/>
      </c>
      <c r="O8" s="18" t="str">
        <f ca="1">IF(AJ8&lt;=VLOOKUP(D8,'power prob array'!$A:$M,9), VLOOKUP(Swords!BR8,Swords!$AS:$BC,11), "")</f>
        <v/>
      </c>
      <c r="P8" s="18" t="str">
        <f ca="1">IF(AK8&lt;=VLOOKUP(D8,'power prob array'!$A:$M,10), VLOOKUP(Swords!BS8,Swords!$AS:$BC,11), "")</f>
        <v/>
      </c>
      <c r="Q8" s="18" t="str">
        <f ca="1">IF(AL8&lt;=VLOOKUP(D8,'power prob array'!$A:$M,11), VLOOKUP(Swords!BT8,Swords!$AS:$BC,11), "")</f>
        <v/>
      </c>
      <c r="R8" s="18" t="str">
        <f ca="1">IF(AM8&lt;=VLOOKUP(D8,'power prob array'!$A:$M,12), VLOOKUP(Swords!BU8,Swords!$AS:$BC,11), "")</f>
        <v/>
      </c>
      <c r="S8" s="18" t="str">
        <f ca="1">IF(AN8&lt;=VLOOKUP(D8,'power prob array'!$A:$M,13), VLOOKUP(Swords!BV8,Swords!$AS:$BC,11), "")</f>
        <v/>
      </c>
      <c r="T8" s="18" t="str">
        <f t="shared" ca="1" si="8"/>
        <v>+2</v>
      </c>
      <c r="U8" s="18" t="str" cm="1">
        <f t="array" aca="1" ref="U8" ca="1">_xlfn.IFS(T8="Talent", VLOOKUP(AP8,$AS:$BF,14), T8="No", "", 1=1, VLOOKUP(AP8,$AS:$BF,13))</f>
        <v>Lycanthropes</v>
      </c>
      <c r="V8" s="1"/>
      <c r="W8" s="1"/>
      <c r="X8" s="1">
        <f t="shared" ca="1" si="0"/>
        <v>63</v>
      </c>
      <c r="Y8" s="1">
        <f t="shared" ca="1" si="0"/>
        <v>44</v>
      </c>
      <c r="Z8" s="1">
        <f t="shared" ca="1" si="0"/>
        <v>5</v>
      </c>
      <c r="AA8" s="1">
        <f t="shared" ca="1" si="0"/>
        <v>72</v>
      </c>
      <c r="AB8" s="1">
        <f t="shared" ca="1" si="0"/>
        <v>68</v>
      </c>
      <c r="AC8" s="1">
        <f t="shared" ca="1" si="0"/>
        <v>52</v>
      </c>
      <c r="AD8" s="1">
        <f t="shared" ca="1" si="0"/>
        <v>24</v>
      </c>
      <c r="AE8" s="1">
        <f t="shared" ca="1" si="0"/>
        <v>59</v>
      </c>
      <c r="AF8" s="1">
        <f t="shared" ca="1" si="0"/>
        <v>79</v>
      </c>
      <c r="AG8" s="1">
        <f t="shared" ca="1" si="0"/>
        <v>65</v>
      </c>
      <c r="AH8" s="1"/>
      <c r="AI8" s="1">
        <f t="shared" ca="1" si="0"/>
        <v>68</v>
      </c>
      <c r="AJ8" s="1">
        <f t="shared" ca="1" si="0"/>
        <v>53</v>
      </c>
      <c r="AK8" s="1">
        <f t="shared" ca="1" si="0"/>
        <v>80</v>
      </c>
      <c r="AL8" s="1">
        <f t="shared" ca="1" si="0"/>
        <v>41</v>
      </c>
      <c r="AM8" s="1">
        <f t="shared" ca="1" si="0"/>
        <v>49</v>
      </c>
      <c r="AN8" s="1">
        <f t="shared" ca="1" si="0"/>
        <v>78</v>
      </c>
      <c r="AO8" s="1">
        <f t="shared" ca="1" si="0"/>
        <v>15</v>
      </c>
      <c r="AP8" s="1">
        <f t="shared" ca="1" si="0"/>
        <v>47</v>
      </c>
      <c r="AQ8" s="1"/>
      <c r="AR8" s="1"/>
      <c r="AS8">
        <v>8</v>
      </c>
      <c r="AT8" t="s">
        <v>678</v>
      </c>
      <c r="AU8" s="9" t="s">
        <v>555</v>
      </c>
      <c r="AV8" s="9" t="s">
        <v>555</v>
      </c>
      <c r="AW8" s="9" t="s">
        <v>692</v>
      </c>
      <c r="AX8" s="9" t="s">
        <v>683</v>
      </c>
      <c r="AY8" s="16" t="s">
        <v>683</v>
      </c>
      <c r="AZ8" s="9" t="s">
        <v>692</v>
      </c>
      <c r="BA8" s="9" t="s">
        <v>695</v>
      </c>
      <c r="BB8" s="9" t="s">
        <v>696</v>
      </c>
      <c r="BC8" s="9" t="s">
        <v>165</v>
      </c>
      <c r="BD8" s="9" t="s">
        <v>555</v>
      </c>
      <c r="BE8" s="9" t="s">
        <v>636</v>
      </c>
      <c r="BF8" s="9" t="s">
        <v>617</v>
      </c>
      <c r="BK8">
        <f t="shared" ca="1" si="1"/>
        <v>5</v>
      </c>
      <c r="BL8">
        <f t="shared" ca="1" si="1"/>
        <v>56</v>
      </c>
      <c r="BM8">
        <f t="shared" ca="1" si="1"/>
        <v>18</v>
      </c>
      <c r="BN8">
        <f t="shared" ca="1" si="1"/>
        <v>53</v>
      </c>
      <c r="BO8">
        <f t="shared" ca="1" si="1"/>
        <v>51</v>
      </c>
      <c r="BP8">
        <f t="shared" ca="1" si="1"/>
        <v>70</v>
      </c>
      <c r="BQ8">
        <f t="shared" ca="1" si="1"/>
        <v>53</v>
      </c>
      <c r="BR8">
        <f t="shared" ca="1" si="1"/>
        <v>13</v>
      </c>
      <c r="BS8">
        <f t="shared" ca="1" si="1"/>
        <v>91</v>
      </c>
      <c r="BT8">
        <f t="shared" ca="1" si="1"/>
        <v>7</v>
      </c>
      <c r="BU8">
        <f t="shared" ca="1" si="1"/>
        <v>42</v>
      </c>
      <c r="BV8">
        <f t="shared" ca="1" si="1"/>
        <v>31</v>
      </c>
    </row>
    <row r="9" spans="1:77" s="20" customFormat="1" x14ac:dyDescent="0.3">
      <c r="A9" s="49">
        <v>8</v>
      </c>
      <c r="B9" s="19" t="str">
        <f t="shared" ca="1" si="2"/>
        <v>Two-handed</v>
      </c>
      <c r="C9" s="19" t="str">
        <f t="shared" ca="1" si="3"/>
        <v>+1</v>
      </c>
      <c r="D9" s="19">
        <f t="shared" ca="1" si="4"/>
        <v>0</v>
      </c>
      <c r="E9" s="19" t="str">
        <f t="shared" ca="1" si="5"/>
        <v>Nil</v>
      </c>
      <c r="F9" s="19" t="str">
        <f t="shared" ca="1" si="6"/>
        <v>Nil</v>
      </c>
      <c r="G9" s="19" t="str">
        <f ca="1">IF(AB9&lt;=VLOOKUP(D9,'power prob array'!$A:$M,2), VLOOKUP(Swords!BK9,Swords!$AS:$BB,10), "")</f>
        <v/>
      </c>
      <c r="H9" s="19" t="str">
        <f ca="1">IF(AC9&lt;=VLOOKUP(D9,'power prob array'!$A:$M,3), VLOOKUP(Swords!BL9,Swords!$AS:$BB,10), "")</f>
        <v/>
      </c>
      <c r="I9" s="19" t="str">
        <f ca="1">IF(AD9&lt;=VLOOKUP(D9,'power prob array'!$A:$M,4), VLOOKUP(Swords!BM9,Swords!$AS:$BB,10), "")</f>
        <v/>
      </c>
      <c r="J9" s="19" t="str">
        <f ca="1">IF(AE9&lt;=VLOOKUP(D9,'power prob array'!$A:$M,5), VLOOKUP(Swords!BN9,Swords!$AS:$BB,10), "")</f>
        <v/>
      </c>
      <c r="K9" s="19" t="str">
        <f ca="1">IF(AF9&lt;=VLOOKUP(D9,'power prob array'!$A:$M,6), VLOOKUP(Swords!BO9,Swords!$AS:$BB,10), "")</f>
        <v/>
      </c>
      <c r="L9" s="19" t="str">
        <f ca="1">IF(AG9&lt;=VLOOKUP(D9,'power prob array'!$A:$M,7), VLOOKUP(Swords!BP9,Swords!$AS:$BB,10), "")</f>
        <v/>
      </c>
      <c r="M9" s="19" t="str">
        <f t="shared" ca="1" si="7"/>
        <v>No</v>
      </c>
      <c r="N9" s="19" t="str">
        <f ca="1">IF(AI9&lt;=VLOOKUP(D9,'power prob array'!$A:$M,8), VLOOKUP(Swords!BQ9,Swords!$AS:$BC,11), "")</f>
        <v/>
      </c>
      <c r="O9" s="19" t="str">
        <f ca="1">IF(AJ9&lt;=VLOOKUP(D9,'power prob array'!$A:$M,9), VLOOKUP(Swords!BR9,Swords!$AS:$BC,11), "")</f>
        <v/>
      </c>
      <c r="P9" s="19" t="str">
        <f ca="1">IF(AK9&lt;=VLOOKUP(D9,'power prob array'!$A:$M,10), VLOOKUP(Swords!BS9,Swords!$AS:$BC,11), "")</f>
        <v/>
      </c>
      <c r="Q9" s="19" t="str">
        <f ca="1">IF(AL9&lt;=VLOOKUP(D9,'power prob array'!$A:$M,11), VLOOKUP(Swords!BT9,Swords!$AS:$BC,11), "")</f>
        <v/>
      </c>
      <c r="R9" s="19" t="str">
        <f ca="1">IF(AM9&lt;=VLOOKUP(D9,'power prob array'!$A:$M,12), VLOOKUP(Swords!BU9,Swords!$AS:$BC,11), "")</f>
        <v/>
      </c>
      <c r="S9" s="19" t="str">
        <f ca="1">IF(AN9&lt;=VLOOKUP(D9,'power prob array'!$A:$M,13), VLOOKUP(Swords!BV9,Swords!$AS:$BC,11), "")</f>
        <v/>
      </c>
      <c r="T9" s="18" t="str">
        <f t="shared" ca="1" si="8"/>
        <v>No</v>
      </c>
      <c r="U9" s="18" t="str" cm="1">
        <f t="array" aca="1" ref="U9" ca="1">_xlfn.IFS(T9="Talent", VLOOKUP(AP9,$AS:$BF,14), T9="No", "", 1=1, VLOOKUP(AP9,$AS:$BF,13))</f>
        <v/>
      </c>
      <c r="V9" s="1"/>
      <c r="W9" s="1"/>
      <c r="X9" s="1">
        <f t="shared" ca="1" si="0"/>
        <v>85</v>
      </c>
      <c r="Y9" s="1">
        <f t="shared" ca="1" si="0"/>
        <v>55</v>
      </c>
      <c r="Z9" s="1">
        <f t="shared" ca="1" si="0"/>
        <v>6</v>
      </c>
      <c r="AA9" s="1">
        <f t="shared" ca="1" si="0"/>
        <v>20</v>
      </c>
      <c r="AB9" s="1">
        <f t="shared" ca="1" si="0"/>
        <v>93</v>
      </c>
      <c r="AC9" s="1">
        <f t="shared" ca="1" si="0"/>
        <v>8</v>
      </c>
      <c r="AD9" s="1">
        <f t="shared" ca="1" si="0"/>
        <v>80</v>
      </c>
      <c r="AE9" s="1">
        <f t="shared" ca="1" si="0"/>
        <v>4</v>
      </c>
      <c r="AF9" s="1">
        <f t="shared" ca="1" si="0"/>
        <v>23</v>
      </c>
      <c r="AG9" s="1">
        <f t="shared" ca="1" si="0"/>
        <v>73</v>
      </c>
      <c r="AH9" s="1"/>
      <c r="AI9" s="1">
        <f t="shared" ca="1" si="0"/>
        <v>77</v>
      </c>
      <c r="AJ9" s="1">
        <f t="shared" ca="1" si="0"/>
        <v>75</v>
      </c>
      <c r="AK9" s="1">
        <f t="shared" ca="1" si="0"/>
        <v>47</v>
      </c>
      <c r="AL9" s="1">
        <f t="shared" ca="1" si="0"/>
        <v>74</v>
      </c>
      <c r="AM9" s="1">
        <f t="shared" ca="1" si="0"/>
        <v>38</v>
      </c>
      <c r="AN9" s="1">
        <f t="shared" ca="1" si="0"/>
        <v>43</v>
      </c>
      <c r="AO9" s="1">
        <f t="shared" ca="1" si="0"/>
        <v>75</v>
      </c>
      <c r="AP9" s="1">
        <f t="shared" ca="1" si="0"/>
        <v>71</v>
      </c>
      <c r="AQ9" s="1"/>
      <c r="AR9" s="1"/>
      <c r="AS9" s="20">
        <v>9</v>
      </c>
      <c r="AT9" s="20" t="s">
        <v>678</v>
      </c>
      <c r="AU9" s="21" t="s">
        <v>555</v>
      </c>
      <c r="AV9" s="21" t="s">
        <v>555</v>
      </c>
      <c r="AW9" s="21" t="s">
        <v>692</v>
      </c>
      <c r="AX9" s="21" t="s">
        <v>683</v>
      </c>
      <c r="AY9" s="22" t="s">
        <v>683</v>
      </c>
      <c r="AZ9" s="21" t="s">
        <v>692</v>
      </c>
      <c r="BA9" s="21" t="s">
        <v>695</v>
      </c>
      <c r="BB9" s="21" t="s">
        <v>696</v>
      </c>
      <c r="BC9" s="21" t="s">
        <v>165</v>
      </c>
      <c r="BD9" s="21" t="s">
        <v>555</v>
      </c>
      <c r="BE9" s="21" t="s">
        <v>636</v>
      </c>
      <c r="BF9" s="21" t="s">
        <v>617</v>
      </c>
      <c r="BK9" s="20">
        <f t="shared" ca="1" si="1"/>
        <v>8</v>
      </c>
      <c r="BL9" s="20">
        <f t="shared" ca="1" si="1"/>
        <v>84</v>
      </c>
      <c r="BM9" s="20">
        <f t="shared" ca="1" si="1"/>
        <v>1</v>
      </c>
      <c r="BN9" s="20">
        <f t="shared" ca="1" si="1"/>
        <v>27</v>
      </c>
      <c r="BO9" s="20">
        <f t="shared" ca="1" si="1"/>
        <v>62</v>
      </c>
      <c r="BP9" s="20">
        <f t="shared" ca="1" si="1"/>
        <v>58</v>
      </c>
      <c r="BQ9" s="20">
        <f t="shared" ca="1" si="1"/>
        <v>91</v>
      </c>
      <c r="BR9" s="20">
        <f t="shared" ca="1" si="1"/>
        <v>66</v>
      </c>
      <c r="BS9" s="20">
        <f t="shared" ca="1" si="1"/>
        <v>47</v>
      </c>
      <c r="BT9" s="20">
        <f t="shared" ca="1" si="1"/>
        <v>5</v>
      </c>
      <c r="BU9" s="20">
        <f t="shared" ca="1" si="1"/>
        <v>88</v>
      </c>
      <c r="BV9" s="20">
        <f t="shared" ca="1" si="1"/>
        <v>60</v>
      </c>
      <c r="BX9" s="23"/>
    </row>
    <row r="10" spans="1:77" x14ac:dyDescent="0.3">
      <c r="A10" s="49">
        <v>9</v>
      </c>
      <c r="B10" s="18" t="str">
        <f t="shared" ca="1" si="2"/>
        <v>Normal</v>
      </c>
      <c r="C10" s="18" t="str">
        <f t="shared" ca="1" si="3"/>
        <v>+1</v>
      </c>
      <c r="D10" s="18">
        <f t="shared" ca="1" si="4"/>
        <v>0</v>
      </c>
      <c r="E10" s="18" t="str">
        <f t="shared" ca="1" si="5"/>
        <v>Nil</v>
      </c>
      <c r="F10" s="18" t="str">
        <f t="shared" ca="1" si="6"/>
        <v>Nil</v>
      </c>
      <c r="G10" s="18" t="str">
        <f ca="1">IF(AB10&lt;=VLOOKUP(D10,'power prob array'!$A:$M,2), VLOOKUP(Swords!BK10,Swords!$AS:$BB,10), "")</f>
        <v/>
      </c>
      <c r="H10" s="18" t="str">
        <f ca="1">IF(AC10&lt;=VLOOKUP(D10,'power prob array'!$A:$M,3), VLOOKUP(Swords!BL10,Swords!$AS:$BB,10), "")</f>
        <v/>
      </c>
      <c r="I10" s="18" t="str">
        <f ca="1">IF(AD10&lt;=VLOOKUP(D10,'power prob array'!$A:$M,4), VLOOKUP(Swords!BM10,Swords!$AS:$BB,10), "")</f>
        <v/>
      </c>
      <c r="J10" s="18" t="str">
        <f ca="1">IF(AE10&lt;=VLOOKUP(D10,'power prob array'!$A:$M,5), VLOOKUP(Swords!BN10,Swords!$AS:$BB,10), "")</f>
        <v/>
      </c>
      <c r="K10" s="18" t="str">
        <f ca="1">IF(AF10&lt;=VLOOKUP(D10,'power prob array'!$A:$M,6), VLOOKUP(Swords!BO10,Swords!$AS:$BB,10), "")</f>
        <v/>
      </c>
      <c r="L10" s="18" t="str">
        <f ca="1">IF(AG10&lt;=VLOOKUP(D10,'power prob array'!$A:$M,7), VLOOKUP(Swords!BP10,Swords!$AS:$BB,10), "")</f>
        <v/>
      </c>
      <c r="M10" s="18" t="str">
        <f t="shared" ca="1" si="7"/>
        <v>No</v>
      </c>
      <c r="N10" s="18" t="str">
        <f ca="1">IF(AI10&lt;=VLOOKUP(D10,'power prob array'!$A:$M,8), VLOOKUP(Swords!BQ10,Swords!$AS:$BC,11), "")</f>
        <v/>
      </c>
      <c r="O10" s="18" t="str">
        <f ca="1">IF(AJ10&lt;=VLOOKUP(D10,'power prob array'!$A:$M,9), VLOOKUP(Swords!BR10,Swords!$AS:$BC,11), "")</f>
        <v/>
      </c>
      <c r="P10" s="18" t="str">
        <f ca="1">IF(AK10&lt;=VLOOKUP(D10,'power prob array'!$A:$M,10), VLOOKUP(Swords!BS10,Swords!$AS:$BC,11), "")</f>
        <v/>
      </c>
      <c r="Q10" s="18" t="str">
        <f ca="1">IF(AL10&lt;=VLOOKUP(D10,'power prob array'!$A:$M,11), VLOOKUP(Swords!BT10,Swords!$AS:$BC,11), "")</f>
        <v/>
      </c>
      <c r="R10" s="18" t="str">
        <f ca="1">IF(AM10&lt;=VLOOKUP(D10,'power prob array'!$A:$M,12), VLOOKUP(Swords!BU10,Swords!$AS:$BC,11), "")</f>
        <v/>
      </c>
      <c r="S10" s="18" t="str">
        <f ca="1">IF(AN10&lt;=VLOOKUP(D10,'power prob array'!$A:$M,13), VLOOKUP(Swords!BV10,Swords!$AS:$BC,11), "")</f>
        <v/>
      </c>
      <c r="T10" s="18" t="str">
        <f t="shared" ca="1" si="8"/>
        <v>No</v>
      </c>
      <c r="U10" s="18" t="str" cm="1">
        <f t="array" aca="1" ref="U10" ca="1">_xlfn.IFS(T10="Talent", VLOOKUP(AP10,$AS:$BF,14), T10="No", "", 1=1, VLOOKUP(AP10,$AS:$BF,13))</f>
        <v/>
      </c>
      <c r="V10" s="1"/>
      <c r="W10" s="1"/>
      <c r="X10" s="1">
        <f t="shared" ca="1" si="0"/>
        <v>32</v>
      </c>
      <c r="Y10" s="1">
        <f t="shared" ca="1" si="0"/>
        <v>60</v>
      </c>
      <c r="Z10" s="1">
        <f t="shared" ca="1" si="0"/>
        <v>7</v>
      </c>
      <c r="AA10" s="1">
        <f t="shared" ca="1" si="0"/>
        <v>28</v>
      </c>
      <c r="AB10" s="1">
        <f t="shared" ca="1" si="0"/>
        <v>74</v>
      </c>
      <c r="AC10" s="1">
        <f t="shared" ca="1" si="0"/>
        <v>32</v>
      </c>
      <c r="AD10" s="1">
        <f t="shared" ca="1" si="0"/>
        <v>25</v>
      </c>
      <c r="AE10" s="1">
        <f t="shared" ca="1" si="0"/>
        <v>53</v>
      </c>
      <c r="AF10" s="1">
        <f t="shared" ca="1" si="0"/>
        <v>81</v>
      </c>
      <c r="AG10" s="1">
        <f t="shared" ca="1" si="0"/>
        <v>83</v>
      </c>
      <c r="AH10" s="1"/>
      <c r="AI10" s="1">
        <f t="shared" ca="1" si="0"/>
        <v>50</v>
      </c>
      <c r="AJ10" s="1">
        <f t="shared" ca="1" si="0"/>
        <v>10</v>
      </c>
      <c r="AK10" s="1">
        <f t="shared" ca="1" si="0"/>
        <v>89</v>
      </c>
      <c r="AL10" s="1">
        <f t="shared" ca="1" si="0"/>
        <v>53</v>
      </c>
      <c r="AM10" s="1">
        <f t="shared" ca="1" si="0"/>
        <v>54</v>
      </c>
      <c r="AN10" s="1">
        <f t="shared" ca="1" si="0"/>
        <v>49</v>
      </c>
      <c r="AO10" s="1">
        <f t="shared" ca="1" si="0"/>
        <v>82</v>
      </c>
      <c r="AP10" s="1">
        <f t="shared" ca="1" si="0"/>
        <v>76</v>
      </c>
      <c r="AQ10" s="1"/>
      <c r="AR10" s="1"/>
      <c r="AS10">
        <v>10</v>
      </c>
      <c r="AT10" t="s">
        <v>678</v>
      </c>
      <c r="AU10" s="9" t="s">
        <v>555</v>
      </c>
      <c r="AV10" s="9" t="s">
        <v>555</v>
      </c>
      <c r="AW10" s="9" t="s">
        <v>692</v>
      </c>
      <c r="AX10" s="9" t="s">
        <v>683</v>
      </c>
      <c r="AY10" s="16" t="s">
        <v>683</v>
      </c>
      <c r="AZ10" s="9" t="s">
        <v>692</v>
      </c>
      <c r="BA10" s="9" t="s">
        <v>695</v>
      </c>
      <c r="BB10" s="9" t="s">
        <v>696</v>
      </c>
      <c r="BC10" s="9" t="s">
        <v>165</v>
      </c>
      <c r="BD10" s="9" t="s">
        <v>555</v>
      </c>
      <c r="BE10" s="9" t="s">
        <v>637</v>
      </c>
      <c r="BF10" s="9" t="s">
        <v>617</v>
      </c>
      <c r="BK10">
        <f t="shared" ca="1" si="1"/>
        <v>99</v>
      </c>
      <c r="BL10">
        <f t="shared" ca="1" si="1"/>
        <v>51</v>
      </c>
      <c r="BM10">
        <f t="shared" ca="1" si="1"/>
        <v>28</v>
      </c>
      <c r="BN10">
        <f t="shared" ca="1" si="1"/>
        <v>57</v>
      </c>
      <c r="BO10">
        <f t="shared" ca="1" si="1"/>
        <v>66</v>
      </c>
      <c r="BP10">
        <f t="shared" ca="1" si="1"/>
        <v>19</v>
      </c>
      <c r="BQ10">
        <f t="shared" ca="1" si="1"/>
        <v>93</v>
      </c>
      <c r="BR10">
        <f t="shared" ca="1" si="1"/>
        <v>51</v>
      </c>
      <c r="BS10">
        <f t="shared" ca="1" si="1"/>
        <v>22</v>
      </c>
      <c r="BT10">
        <f t="shared" ca="1" si="1"/>
        <v>33</v>
      </c>
      <c r="BU10">
        <f t="shared" ca="1" si="1"/>
        <v>3</v>
      </c>
      <c r="BV10">
        <f t="shared" ca="1" si="1"/>
        <v>81</v>
      </c>
    </row>
    <row r="11" spans="1:77" s="20" customFormat="1" x14ac:dyDescent="0.3">
      <c r="A11" s="49">
        <v>10</v>
      </c>
      <c r="B11" s="19" t="str">
        <f t="shared" ca="1" si="2"/>
        <v>Normal</v>
      </c>
      <c r="C11" s="19" t="str">
        <f t="shared" ca="1" si="3"/>
        <v>+1</v>
      </c>
      <c r="D11" s="19">
        <f t="shared" ca="1" si="4"/>
        <v>0</v>
      </c>
      <c r="E11" s="19" t="str">
        <f t="shared" ca="1" si="5"/>
        <v>Nil</v>
      </c>
      <c r="F11" s="19" t="str">
        <f t="shared" ca="1" si="6"/>
        <v>Nil</v>
      </c>
      <c r="G11" s="19" t="str">
        <f ca="1">IF(AB11&lt;=VLOOKUP(D11,'power prob array'!$A:$M,2), VLOOKUP(Swords!BK11,Swords!$AS:$BB,10), "")</f>
        <v/>
      </c>
      <c r="H11" s="19" t="str">
        <f ca="1">IF(AC11&lt;=VLOOKUP(D11,'power prob array'!$A:$M,3), VLOOKUP(Swords!BL11,Swords!$AS:$BB,10), "")</f>
        <v/>
      </c>
      <c r="I11" s="19" t="str">
        <f ca="1">IF(AD11&lt;=VLOOKUP(D11,'power prob array'!$A:$M,4), VLOOKUP(Swords!BM11,Swords!$AS:$BB,10), "")</f>
        <v/>
      </c>
      <c r="J11" s="19" t="str">
        <f ca="1">IF(AE11&lt;=VLOOKUP(D11,'power prob array'!$A:$M,5), VLOOKUP(Swords!BN11,Swords!$AS:$BB,10), "")</f>
        <v/>
      </c>
      <c r="K11" s="19" t="str">
        <f ca="1">IF(AF11&lt;=VLOOKUP(D11,'power prob array'!$A:$M,6), VLOOKUP(Swords!BO11,Swords!$AS:$BB,10), "")</f>
        <v/>
      </c>
      <c r="L11" s="19" t="str">
        <f ca="1">IF(AG11&lt;=VLOOKUP(D11,'power prob array'!$A:$M,7), VLOOKUP(Swords!BP11,Swords!$AS:$BB,10), "")</f>
        <v/>
      </c>
      <c r="M11" s="19" t="str">
        <f t="shared" ca="1" si="7"/>
        <v>No</v>
      </c>
      <c r="N11" s="19" t="str">
        <f ca="1">IF(AI11&lt;=VLOOKUP(D11,'power prob array'!$A:$M,8), VLOOKUP(Swords!BQ11,Swords!$AS:$BC,11), "")</f>
        <v/>
      </c>
      <c r="O11" s="19" t="str">
        <f ca="1">IF(AJ11&lt;=VLOOKUP(D11,'power prob array'!$A:$M,9), VLOOKUP(Swords!BR11,Swords!$AS:$BC,11), "")</f>
        <v/>
      </c>
      <c r="P11" s="19" t="str">
        <f ca="1">IF(AK11&lt;=VLOOKUP(D11,'power prob array'!$A:$M,10), VLOOKUP(Swords!BS11,Swords!$AS:$BC,11), "")</f>
        <v/>
      </c>
      <c r="Q11" s="19" t="str">
        <f ca="1">IF(AL11&lt;=VLOOKUP(D11,'power prob array'!$A:$M,11), VLOOKUP(Swords!BT11,Swords!$AS:$BC,11), "")</f>
        <v/>
      </c>
      <c r="R11" s="19" t="str">
        <f ca="1">IF(AM11&lt;=VLOOKUP(D11,'power prob array'!$A:$M,12), VLOOKUP(Swords!BU11,Swords!$AS:$BC,11), "")</f>
        <v/>
      </c>
      <c r="S11" s="19" t="str">
        <f ca="1">IF(AN11&lt;=VLOOKUP(D11,'power prob array'!$A:$M,13), VLOOKUP(Swords!BV11,Swords!$AS:$BC,11), "")</f>
        <v/>
      </c>
      <c r="T11" s="18" t="str">
        <f t="shared" ca="1" si="8"/>
        <v>Talent</v>
      </c>
      <c r="U11" s="18" t="str" cm="1">
        <f t="array" aca="1" ref="U11" ca="1">_xlfn.IFS(T11="Talent", VLOOKUP(AP11,$AS:$BF,14), T11="No", "", 1=1, VLOOKUP(AP11,$AS:$BF,13))</f>
        <v>Watching</v>
      </c>
      <c r="V11" s="1"/>
      <c r="W11" s="1"/>
      <c r="X11" s="1">
        <f t="shared" ca="1" si="0"/>
        <v>34</v>
      </c>
      <c r="Y11" s="1">
        <f t="shared" ca="1" si="0"/>
        <v>12</v>
      </c>
      <c r="Z11" s="1">
        <f t="shared" ca="1" si="0"/>
        <v>18</v>
      </c>
      <c r="AA11" s="1">
        <f t="shared" ca="1" si="0"/>
        <v>78</v>
      </c>
      <c r="AB11" s="1">
        <f t="shared" ca="1" si="0"/>
        <v>26</v>
      </c>
      <c r="AC11" s="1">
        <f t="shared" ca="1" si="0"/>
        <v>59</v>
      </c>
      <c r="AD11" s="1">
        <f t="shared" ca="1" si="0"/>
        <v>58</v>
      </c>
      <c r="AE11" s="1">
        <f t="shared" ca="1" si="0"/>
        <v>80</v>
      </c>
      <c r="AF11" s="1">
        <f t="shared" ca="1" si="0"/>
        <v>27</v>
      </c>
      <c r="AG11" s="1">
        <f t="shared" ca="1" si="0"/>
        <v>21</v>
      </c>
      <c r="AH11" s="1"/>
      <c r="AI11" s="1">
        <f t="shared" ca="1" si="0"/>
        <v>11</v>
      </c>
      <c r="AJ11" s="1">
        <f t="shared" ca="1" si="0"/>
        <v>75</v>
      </c>
      <c r="AK11" s="1">
        <f t="shared" ca="1" si="0"/>
        <v>80</v>
      </c>
      <c r="AL11" s="1">
        <f t="shared" ca="1" si="0"/>
        <v>82</v>
      </c>
      <c r="AM11" s="1">
        <f t="shared" ca="1" si="0"/>
        <v>99</v>
      </c>
      <c r="AN11" s="1">
        <f t="shared" ca="1" si="0"/>
        <v>76</v>
      </c>
      <c r="AO11" s="1">
        <f t="shared" ca="1" si="0"/>
        <v>15</v>
      </c>
      <c r="AP11" s="1">
        <f t="shared" ca="1" si="0"/>
        <v>98</v>
      </c>
      <c r="AQ11" s="1"/>
      <c r="AR11" s="1"/>
      <c r="AS11" s="20">
        <v>11</v>
      </c>
      <c r="AT11" s="20" t="s">
        <v>678</v>
      </c>
      <c r="AU11" s="21" t="s">
        <v>555</v>
      </c>
      <c r="AV11" s="21" t="s">
        <v>555</v>
      </c>
      <c r="AW11" s="21" t="s">
        <v>692</v>
      </c>
      <c r="AX11" s="21" t="s">
        <v>683</v>
      </c>
      <c r="AY11" s="22" t="s">
        <v>683</v>
      </c>
      <c r="AZ11" s="21" t="s">
        <v>692</v>
      </c>
      <c r="BA11" s="21" t="s">
        <v>695</v>
      </c>
      <c r="BB11" s="21" t="s">
        <v>697</v>
      </c>
      <c r="BC11" s="21" t="s">
        <v>166</v>
      </c>
      <c r="BD11" s="21" t="s">
        <v>555</v>
      </c>
      <c r="BE11" s="21" t="s">
        <v>637</v>
      </c>
      <c r="BF11" s="21" t="s">
        <v>617</v>
      </c>
      <c r="BK11" s="20">
        <f t="shared" ca="1" si="1"/>
        <v>71</v>
      </c>
      <c r="BL11" s="20">
        <f t="shared" ca="1" si="1"/>
        <v>70</v>
      </c>
      <c r="BM11" s="20">
        <f t="shared" ca="1" si="1"/>
        <v>91</v>
      </c>
      <c r="BN11" s="20">
        <f t="shared" ca="1" si="1"/>
        <v>83</v>
      </c>
      <c r="BO11" s="20">
        <f t="shared" ca="1" si="1"/>
        <v>41</v>
      </c>
      <c r="BP11" s="20">
        <f t="shared" ca="1" si="1"/>
        <v>76</v>
      </c>
      <c r="BQ11" s="20">
        <f t="shared" ca="1" si="1"/>
        <v>58</v>
      </c>
      <c r="BR11" s="20">
        <f t="shared" ca="1" si="1"/>
        <v>5</v>
      </c>
      <c r="BS11" s="20">
        <f t="shared" ca="1" si="1"/>
        <v>7</v>
      </c>
      <c r="BT11" s="20">
        <f t="shared" ca="1" si="1"/>
        <v>40</v>
      </c>
      <c r="BU11" s="20">
        <f t="shared" ca="1" si="1"/>
        <v>77</v>
      </c>
      <c r="BV11" s="20">
        <f t="shared" ca="1" si="1"/>
        <v>57</v>
      </c>
      <c r="BX11" s="23"/>
    </row>
    <row r="12" spans="1:77" x14ac:dyDescent="0.3">
      <c r="A12" s="49">
        <v>11</v>
      </c>
      <c r="B12" s="18" t="str">
        <f t="shared" ca="1" si="2"/>
        <v>Short</v>
      </c>
      <c r="C12" s="18" t="str">
        <f t="shared" ca="1" si="3"/>
        <v>+2</v>
      </c>
      <c r="D12" s="18">
        <f t="shared" ca="1" si="4"/>
        <v>0</v>
      </c>
      <c r="E12" s="18" t="str">
        <f t="shared" ca="1" si="5"/>
        <v>Nil</v>
      </c>
      <c r="F12" s="18" t="str">
        <f t="shared" ca="1" si="6"/>
        <v>Nil</v>
      </c>
      <c r="G12" s="18" t="str">
        <f ca="1">IF(AB12&lt;=VLOOKUP(D12,'power prob array'!$A:$M,2), VLOOKUP(Swords!BK12,Swords!$AS:$BB,10), "")</f>
        <v/>
      </c>
      <c r="H12" s="18" t="str">
        <f ca="1">IF(AC12&lt;=VLOOKUP(D12,'power prob array'!$A:$M,3), VLOOKUP(Swords!BL12,Swords!$AS:$BB,10), "")</f>
        <v/>
      </c>
      <c r="I12" s="18" t="str">
        <f ca="1">IF(AD12&lt;=VLOOKUP(D12,'power prob array'!$A:$M,4), VLOOKUP(Swords!BM12,Swords!$AS:$BB,10), "")</f>
        <v/>
      </c>
      <c r="J12" s="18" t="str">
        <f ca="1">IF(AE12&lt;=VLOOKUP(D12,'power prob array'!$A:$M,5), VLOOKUP(Swords!BN12,Swords!$AS:$BB,10), "")</f>
        <v/>
      </c>
      <c r="K12" s="18" t="str">
        <f ca="1">IF(AF12&lt;=VLOOKUP(D12,'power prob array'!$A:$M,6), VLOOKUP(Swords!BO12,Swords!$AS:$BB,10), "")</f>
        <v/>
      </c>
      <c r="L12" s="18" t="str">
        <f ca="1">IF(AG12&lt;=VLOOKUP(D12,'power prob array'!$A:$M,7), VLOOKUP(Swords!BP12,Swords!$AS:$BB,10), "")</f>
        <v/>
      </c>
      <c r="M12" s="18" t="str">
        <f t="shared" ca="1" si="7"/>
        <v>No</v>
      </c>
      <c r="N12" s="18" t="str">
        <f ca="1">IF(AI12&lt;=VLOOKUP(D12,'power prob array'!$A:$M,8), VLOOKUP(Swords!BQ12,Swords!$AS:$BC,11), "")</f>
        <v/>
      </c>
      <c r="O12" s="18" t="str">
        <f ca="1">IF(AJ12&lt;=VLOOKUP(D12,'power prob array'!$A:$M,9), VLOOKUP(Swords!BR12,Swords!$AS:$BC,11), "")</f>
        <v/>
      </c>
      <c r="P12" s="18" t="str">
        <f ca="1">IF(AK12&lt;=VLOOKUP(D12,'power prob array'!$A:$M,10), VLOOKUP(Swords!BS12,Swords!$AS:$BC,11), "")</f>
        <v/>
      </c>
      <c r="Q12" s="18" t="str">
        <f ca="1">IF(AL12&lt;=VLOOKUP(D12,'power prob array'!$A:$M,11), VLOOKUP(Swords!BT12,Swords!$AS:$BC,11), "")</f>
        <v/>
      </c>
      <c r="R12" s="18" t="str">
        <f ca="1">IF(AM12&lt;=VLOOKUP(D12,'power prob array'!$A:$M,12), VLOOKUP(Swords!BU12,Swords!$AS:$BC,11), "")</f>
        <v/>
      </c>
      <c r="S12" s="18" t="str">
        <f ca="1">IF(AN12&lt;=VLOOKUP(D12,'power prob array'!$A:$M,13), VLOOKUP(Swords!BV12,Swords!$AS:$BC,11), "")</f>
        <v/>
      </c>
      <c r="T12" s="18" t="str">
        <f t="shared" ca="1" si="8"/>
        <v>+4</v>
      </c>
      <c r="U12" s="18" t="str" cm="1">
        <f t="array" aca="1" ref="U12" ca="1">_xlfn.IFS(T12="Talent", VLOOKUP(AP12,$AS:$BF,14), T12="No", "", 1=1, VLOOKUP(AP12,$AS:$BF,13))</f>
        <v>Spell-Immune Monsters</v>
      </c>
      <c r="V12" s="1"/>
      <c r="W12" s="1"/>
      <c r="X12" s="1">
        <f t="shared" ca="1" si="0"/>
        <v>78</v>
      </c>
      <c r="Y12" s="1">
        <f t="shared" ca="1" si="0"/>
        <v>86</v>
      </c>
      <c r="Z12" s="1">
        <f t="shared" ca="1" si="0"/>
        <v>39</v>
      </c>
      <c r="AA12" s="1">
        <f t="shared" ca="1" si="0"/>
        <v>4</v>
      </c>
      <c r="AB12" s="1">
        <f t="shared" ca="1" si="0"/>
        <v>91</v>
      </c>
      <c r="AC12" s="1">
        <f t="shared" ca="1" si="0"/>
        <v>7</v>
      </c>
      <c r="AD12" s="1">
        <f t="shared" ca="1" si="0"/>
        <v>93</v>
      </c>
      <c r="AE12" s="1">
        <f t="shared" ca="1" si="0"/>
        <v>45</v>
      </c>
      <c r="AF12" s="1">
        <f t="shared" ca="1" si="0"/>
        <v>22</v>
      </c>
      <c r="AG12" s="1">
        <f t="shared" ca="1" si="0"/>
        <v>38</v>
      </c>
      <c r="AH12" s="1"/>
      <c r="AI12" s="1">
        <f t="shared" ca="1" si="0"/>
        <v>80</v>
      </c>
      <c r="AJ12" s="1">
        <f t="shared" ca="1" si="0"/>
        <v>53</v>
      </c>
      <c r="AK12" s="1">
        <f t="shared" ca="1" si="0"/>
        <v>91</v>
      </c>
      <c r="AL12" s="1">
        <f t="shared" ca="1" si="0"/>
        <v>60</v>
      </c>
      <c r="AM12" s="1">
        <f t="shared" ca="1" si="0"/>
        <v>35</v>
      </c>
      <c r="AN12" s="1">
        <f t="shared" ca="1" si="0"/>
        <v>42</v>
      </c>
      <c r="AO12" s="1">
        <f t="shared" ca="1" si="0"/>
        <v>29</v>
      </c>
      <c r="AP12" s="1">
        <f t="shared" ca="1" si="0"/>
        <v>70</v>
      </c>
      <c r="AQ12" s="1"/>
      <c r="AR12" s="1"/>
      <c r="AS12">
        <v>12</v>
      </c>
      <c r="AT12" t="s">
        <v>678</v>
      </c>
      <c r="AU12" s="9" t="s">
        <v>555</v>
      </c>
      <c r="AV12" s="9" t="s">
        <v>555</v>
      </c>
      <c r="AW12" s="9" t="s">
        <v>692</v>
      </c>
      <c r="AX12" s="9" t="s">
        <v>683</v>
      </c>
      <c r="AY12" s="16" t="s">
        <v>683</v>
      </c>
      <c r="AZ12" s="9" t="s">
        <v>692</v>
      </c>
      <c r="BA12" s="9" t="s">
        <v>695</v>
      </c>
      <c r="BB12" s="9" t="s">
        <v>697</v>
      </c>
      <c r="BC12" s="9" t="s">
        <v>166</v>
      </c>
      <c r="BD12" s="9" t="s">
        <v>555</v>
      </c>
      <c r="BE12" s="9" t="s">
        <v>637</v>
      </c>
      <c r="BF12" s="9" t="s">
        <v>617</v>
      </c>
      <c r="BK12">
        <f t="shared" ca="1" si="1"/>
        <v>61</v>
      </c>
      <c r="BL12">
        <f t="shared" ca="1" si="1"/>
        <v>42</v>
      </c>
      <c r="BM12">
        <f t="shared" ca="1" si="1"/>
        <v>33</v>
      </c>
      <c r="BN12">
        <f t="shared" ca="1" si="1"/>
        <v>37</v>
      </c>
      <c r="BO12">
        <f t="shared" ca="1" si="1"/>
        <v>87</v>
      </c>
      <c r="BP12">
        <f t="shared" ca="1" si="1"/>
        <v>98</v>
      </c>
      <c r="BQ12">
        <f t="shared" ca="1" si="1"/>
        <v>40</v>
      </c>
      <c r="BR12">
        <f t="shared" ca="1" si="1"/>
        <v>86</v>
      </c>
      <c r="BS12">
        <f t="shared" ca="1" si="1"/>
        <v>62</v>
      </c>
      <c r="BT12">
        <f t="shared" ca="1" si="1"/>
        <v>48</v>
      </c>
      <c r="BU12">
        <f t="shared" ca="1" si="1"/>
        <v>77</v>
      </c>
      <c r="BV12">
        <f t="shared" ca="1" si="1"/>
        <v>97</v>
      </c>
    </row>
    <row r="13" spans="1:77" s="20" customFormat="1" x14ac:dyDescent="0.3">
      <c r="A13" s="49">
        <v>12</v>
      </c>
      <c r="B13" s="19" t="str">
        <f t="shared" ca="1" si="2"/>
        <v>Normal</v>
      </c>
      <c r="C13" s="19" t="str">
        <f t="shared" ca="1" si="3"/>
        <v>+1</v>
      </c>
      <c r="D13" s="19">
        <f t="shared" ca="1" si="4"/>
        <v>11</v>
      </c>
      <c r="E13" s="19" t="str">
        <f t="shared" ca="1" si="5"/>
        <v>Speech</v>
      </c>
      <c r="F13" s="19">
        <f t="shared" ca="1" si="6"/>
        <v>3</v>
      </c>
      <c r="G13" s="19" t="str">
        <f ca="1">IF(AB13&lt;=VLOOKUP(D13,'power prob array'!$A:$M,2), VLOOKUP(Swords!BK13,Swords!$AS:$BB,10), "")</f>
        <v>Detect Metal</v>
      </c>
      <c r="H13" s="19" t="str">
        <f ca="1">IF(AC13&lt;=VLOOKUP(D13,'power prob array'!$A:$M,3), VLOOKUP(Swords!BL13,Swords!$AS:$BB,10), "")</f>
        <v>See Invisible</v>
      </c>
      <c r="I13" s="19" t="str">
        <f ca="1">IF(AD13&lt;=VLOOKUP(D13,'power prob array'!$A:$M,4), VLOOKUP(Swords!BM13,Swords!$AS:$BB,10), "")</f>
        <v>Find Secret Doors</v>
      </c>
      <c r="J13" s="19" t="str">
        <f ca="1">IF(AE13&lt;=VLOOKUP(D13,'power prob array'!$A:$M,5), VLOOKUP(Swords!BN13,Swords!$AS:$BB,10), "")</f>
        <v>Find Traps</v>
      </c>
      <c r="K13" s="19" t="str">
        <f ca="1">IF(AF13&lt;=VLOOKUP(D13,'power prob array'!$A:$M,6), VLOOKUP(Swords!BO13,Swords!$AS:$BB,10), "")</f>
        <v/>
      </c>
      <c r="L13" s="19" t="str">
        <f ca="1">IF(AG13&lt;=VLOOKUP(D13,'power prob array'!$A:$M,7), VLOOKUP(Swords!BP13,Swords!$AS:$BB,10), "")</f>
        <v/>
      </c>
      <c r="M13" s="19" t="str">
        <f t="shared" ca="1" si="7"/>
        <v>Yes</v>
      </c>
      <c r="N13" s="19" t="str">
        <f ca="1">IF(AI13&lt;=VLOOKUP(D13,'power prob array'!$A:$M,8), VLOOKUP(Swords!BQ13,Swords!$AS:$BC,11), "")</f>
        <v>Telekinesis</v>
      </c>
      <c r="O13" s="19" t="str">
        <f ca="1">IF(AJ13&lt;=VLOOKUP(D13,'power prob array'!$A:$M,9), VLOOKUP(Swords!BR13,Swords!$AS:$BC,11), "")</f>
        <v/>
      </c>
      <c r="P13" s="19" t="str">
        <f ca="1">IF(AK13&lt;=VLOOKUP(D13,'power prob array'!$A:$M,10), VLOOKUP(Swords!BS13,Swords!$AS:$BC,11), "")</f>
        <v/>
      </c>
      <c r="Q13" s="19" t="str">
        <f ca="1">IF(AL13&lt;=VLOOKUP(D13,'power prob array'!$A:$M,11), VLOOKUP(Swords!BT13,Swords!$AS:$BC,11), "")</f>
        <v/>
      </c>
      <c r="R13" s="19" t="str">
        <f ca="1">IF(AM13&lt;=VLOOKUP(D13,'power prob array'!$A:$M,12), VLOOKUP(Swords!BU13,Swords!$AS:$BC,11), "")</f>
        <v/>
      </c>
      <c r="S13" s="19" t="str">
        <f ca="1">IF(AN13&lt;=VLOOKUP(D13,'power prob array'!$A:$M,13), VLOOKUP(Swords!BV13,Swords!$AS:$BC,11), "")</f>
        <v/>
      </c>
      <c r="T13" s="18" t="str">
        <f t="shared" ca="1" si="8"/>
        <v>No</v>
      </c>
      <c r="U13" s="18" t="str" cm="1">
        <f t="array" aca="1" ref="U13" ca="1">_xlfn.IFS(T13="Talent", VLOOKUP(AP13,$AS:$BF,14), T13="No", "", 1=1, VLOOKUP(AP13,$AS:$BF,13))</f>
        <v/>
      </c>
      <c r="V13" s="1"/>
      <c r="W13" s="1"/>
      <c r="X13" s="1">
        <f t="shared" ca="1" si="0"/>
        <v>30</v>
      </c>
      <c r="Y13" s="1">
        <f t="shared" ca="1" si="0"/>
        <v>49</v>
      </c>
      <c r="Z13" s="1">
        <f t="shared" ca="1" si="0"/>
        <v>76</v>
      </c>
      <c r="AA13" s="1">
        <f t="shared" ca="1" si="0"/>
        <v>99</v>
      </c>
      <c r="AB13" s="1">
        <f t="shared" ca="1" si="0"/>
        <v>67</v>
      </c>
      <c r="AC13" s="1">
        <f t="shared" ca="1" si="0"/>
        <v>29</v>
      </c>
      <c r="AD13" s="1">
        <f t="shared" ca="1" si="0"/>
        <v>73</v>
      </c>
      <c r="AE13" s="1">
        <f t="shared" ca="1" si="0"/>
        <v>3</v>
      </c>
      <c r="AF13" s="1">
        <f t="shared" ca="1" si="0"/>
        <v>11</v>
      </c>
      <c r="AG13" s="1">
        <f t="shared" ca="1" si="0"/>
        <v>93</v>
      </c>
      <c r="AH13" s="1"/>
      <c r="AI13" s="1">
        <f t="shared" ca="1" si="0"/>
        <v>6</v>
      </c>
      <c r="AJ13" s="1">
        <f t="shared" ca="1" si="0"/>
        <v>41</v>
      </c>
      <c r="AK13" s="1">
        <f t="shared" ca="1" si="0"/>
        <v>57</v>
      </c>
      <c r="AL13" s="1">
        <f t="shared" ca="1" si="0"/>
        <v>82</v>
      </c>
      <c r="AM13" s="1">
        <f t="shared" ca="1" si="0"/>
        <v>27</v>
      </c>
      <c r="AN13" s="1">
        <f t="shared" ca="1" si="0"/>
        <v>20</v>
      </c>
      <c r="AO13" s="1">
        <f t="shared" ca="1" si="0"/>
        <v>71</v>
      </c>
      <c r="AP13" s="1">
        <f t="shared" ca="1" si="0"/>
        <v>35</v>
      </c>
      <c r="AQ13" s="1"/>
      <c r="AR13" s="1"/>
      <c r="AS13" s="20">
        <v>13</v>
      </c>
      <c r="AT13" s="20" t="s">
        <v>678</v>
      </c>
      <c r="AU13" s="21" t="s">
        <v>555</v>
      </c>
      <c r="AV13" s="21" t="s">
        <v>555</v>
      </c>
      <c r="AW13" s="21" t="s">
        <v>692</v>
      </c>
      <c r="AX13" s="21" t="s">
        <v>683</v>
      </c>
      <c r="AY13" s="22" t="s">
        <v>683</v>
      </c>
      <c r="AZ13" s="21" t="s">
        <v>692</v>
      </c>
      <c r="BA13" s="21" t="s">
        <v>695</v>
      </c>
      <c r="BB13" s="21" t="s">
        <v>697</v>
      </c>
      <c r="BC13" s="21" t="s">
        <v>166</v>
      </c>
      <c r="BD13" s="21" t="s">
        <v>555</v>
      </c>
      <c r="BE13" s="21" t="s">
        <v>637</v>
      </c>
      <c r="BF13" s="21" t="s">
        <v>721</v>
      </c>
      <c r="BK13" s="20">
        <f t="shared" ca="1" si="1"/>
        <v>26</v>
      </c>
      <c r="BL13" s="20">
        <f t="shared" ca="1" si="1"/>
        <v>95</v>
      </c>
      <c r="BM13" s="20">
        <f t="shared" ca="1" si="1"/>
        <v>72</v>
      </c>
      <c r="BN13" s="20">
        <f t="shared" ca="1" si="1"/>
        <v>76</v>
      </c>
      <c r="BO13" s="20">
        <f t="shared" ca="1" si="1"/>
        <v>18</v>
      </c>
      <c r="BP13" s="20">
        <f t="shared" ca="1" si="1"/>
        <v>35</v>
      </c>
      <c r="BQ13" s="20">
        <f t="shared" ca="1" si="1"/>
        <v>64</v>
      </c>
      <c r="BR13" s="20">
        <f t="shared" ca="1" si="1"/>
        <v>11</v>
      </c>
      <c r="BS13" s="20">
        <f t="shared" ca="1" si="1"/>
        <v>21</v>
      </c>
      <c r="BT13" s="20">
        <f t="shared" ca="1" si="1"/>
        <v>7</v>
      </c>
      <c r="BU13" s="20">
        <f t="shared" ca="1" si="1"/>
        <v>63</v>
      </c>
      <c r="BV13" s="20">
        <f t="shared" ca="1" si="1"/>
        <v>81</v>
      </c>
      <c r="BX13" s="23"/>
    </row>
    <row r="14" spans="1:77" x14ac:dyDescent="0.3">
      <c r="A14" s="49">
        <v>13</v>
      </c>
      <c r="B14" s="18" t="str">
        <f t="shared" ca="1" si="2"/>
        <v>Normal</v>
      </c>
      <c r="C14" s="18" t="str">
        <f t="shared" ca="1" si="3"/>
        <v>+1</v>
      </c>
      <c r="D14" s="18">
        <f t="shared" ca="1" si="4"/>
        <v>0</v>
      </c>
      <c r="E14" s="18" t="str">
        <f t="shared" ca="1" si="5"/>
        <v>Nil</v>
      </c>
      <c r="F14" s="18" t="str">
        <f t="shared" ca="1" si="6"/>
        <v>Nil</v>
      </c>
      <c r="G14" s="18" t="str">
        <f ca="1">IF(AB14&lt;=VLOOKUP(D14,'power prob array'!$A:$M,2), VLOOKUP(Swords!BK14,Swords!$AS:$BB,10), "")</f>
        <v/>
      </c>
      <c r="H14" s="18" t="str">
        <f ca="1">IF(AC14&lt;=VLOOKUP(D14,'power prob array'!$A:$M,3), VLOOKUP(Swords!BL14,Swords!$AS:$BB,10), "")</f>
        <v/>
      </c>
      <c r="I14" s="18" t="str">
        <f ca="1">IF(AD14&lt;=VLOOKUP(D14,'power prob array'!$A:$M,4), VLOOKUP(Swords!BM14,Swords!$AS:$BB,10), "")</f>
        <v/>
      </c>
      <c r="J14" s="18" t="str">
        <f ca="1">IF(AE14&lt;=VLOOKUP(D14,'power prob array'!$A:$M,5), VLOOKUP(Swords!BN14,Swords!$AS:$BB,10), "")</f>
        <v/>
      </c>
      <c r="K14" s="18" t="str">
        <f ca="1">IF(AF14&lt;=VLOOKUP(D14,'power prob array'!$A:$M,6), VLOOKUP(Swords!BO14,Swords!$AS:$BB,10), "")</f>
        <v/>
      </c>
      <c r="L14" s="18" t="str">
        <f ca="1">IF(AG14&lt;=VLOOKUP(D14,'power prob array'!$A:$M,7), VLOOKUP(Swords!BP14,Swords!$AS:$BB,10), "")</f>
        <v/>
      </c>
      <c r="M14" s="18" t="str">
        <f t="shared" ca="1" si="7"/>
        <v>No</v>
      </c>
      <c r="N14" s="18" t="str">
        <f ca="1">IF(AI14&lt;=VLOOKUP(D14,'power prob array'!$A:$M,8), VLOOKUP(Swords!BQ14,Swords!$AS:$BC,11), "")</f>
        <v/>
      </c>
      <c r="O14" s="18" t="str">
        <f ca="1">IF(AJ14&lt;=VLOOKUP(D14,'power prob array'!$A:$M,9), VLOOKUP(Swords!BR14,Swords!$AS:$BC,11), "")</f>
        <v/>
      </c>
      <c r="P14" s="18" t="str">
        <f ca="1">IF(AK14&lt;=VLOOKUP(D14,'power prob array'!$A:$M,10), VLOOKUP(Swords!BS14,Swords!$AS:$BC,11), "")</f>
        <v/>
      </c>
      <c r="Q14" s="18" t="str">
        <f ca="1">IF(AL14&lt;=VLOOKUP(D14,'power prob array'!$A:$M,11), VLOOKUP(Swords!BT14,Swords!$AS:$BC,11), "")</f>
        <v/>
      </c>
      <c r="R14" s="18" t="str">
        <f ca="1">IF(AM14&lt;=VLOOKUP(D14,'power prob array'!$A:$M,12), VLOOKUP(Swords!BU14,Swords!$AS:$BC,11), "")</f>
        <v/>
      </c>
      <c r="S14" s="18" t="str">
        <f ca="1">IF(AN14&lt;=VLOOKUP(D14,'power prob array'!$A:$M,13), VLOOKUP(Swords!BV14,Swords!$AS:$BC,11), "")</f>
        <v/>
      </c>
      <c r="T14" s="18" t="str">
        <f t="shared" ca="1" si="8"/>
        <v>+4</v>
      </c>
      <c r="U14" s="18" t="str" cm="1">
        <f t="array" aca="1" ref="U14" ca="1">_xlfn.IFS(T14="Talent", VLOOKUP(AP14,$AS:$BF,14), T14="No", "", 1=1, VLOOKUP(AP14,$AS:$BF,13))</f>
        <v>Reptiles and Dinosaurs</v>
      </c>
      <c r="V14" s="1"/>
      <c r="W14" s="1"/>
      <c r="X14" s="1">
        <f t="shared" ca="1" si="0"/>
        <v>8</v>
      </c>
      <c r="Y14" s="1">
        <f t="shared" ca="1" si="0"/>
        <v>6</v>
      </c>
      <c r="Z14" s="1">
        <f t="shared" ca="1" si="0"/>
        <v>62</v>
      </c>
      <c r="AA14" s="1">
        <f t="shared" ca="1" si="0"/>
        <v>76</v>
      </c>
      <c r="AB14" s="1">
        <f t="shared" ca="1" si="0"/>
        <v>46</v>
      </c>
      <c r="AC14" s="1">
        <f t="shared" ca="1" si="0"/>
        <v>24</v>
      </c>
      <c r="AD14" s="1">
        <f t="shared" ca="1" si="0"/>
        <v>60</v>
      </c>
      <c r="AE14" s="1">
        <f t="shared" ca="1" si="0"/>
        <v>10</v>
      </c>
      <c r="AF14" s="1">
        <f t="shared" ca="1" si="0"/>
        <v>67</v>
      </c>
      <c r="AG14" s="1">
        <f t="shared" ca="1" si="0"/>
        <v>79</v>
      </c>
      <c r="AH14" s="1"/>
      <c r="AI14" s="1">
        <f t="shared" ca="1" si="0"/>
        <v>1</v>
      </c>
      <c r="AJ14" s="1">
        <f t="shared" ca="1" si="0"/>
        <v>3</v>
      </c>
      <c r="AK14" s="1">
        <f t="shared" ca="1" si="0"/>
        <v>12</v>
      </c>
      <c r="AL14" s="1">
        <f t="shared" ca="1" si="0"/>
        <v>92</v>
      </c>
      <c r="AM14" s="1">
        <f t="shared" ca="1" si="0"/>
        <v>54</v>
      </c>
      <c r="AN14" s="1">
        <f t="shared" ca="1" si="0"/>
        <v>13</v>
      </c>
      <c r="AO14" s="1">
        <f t="shared" ca="1" si="0"/>
        <v>8</v>
      </c>
      <c r="AP14" s="1">
        <f t="shared" ca="1" si="0"/>
        <v>65</v>
      </c>
      <c r="AQ14" s="1"/>
      <c r="AR14" s="1"/>
      <c r="AS14">
        <v>14</v>
      </c>
      <c r="AT14" t="s">
        <v>678</v>
      </c>
      <c r="AU14" s="9" t="s">
        <v>555</v>
      </c>
      <c r="AV14" s="9" t="s">
        <v>555</v>
      </c>
      <c r="AW14" s="9" t="s">
        <v>692</v>
      </c>
      <c r="AX14" s="9" t="s">
        <v>683</v>
      </c>
      <c r="AY14" s="16" t="s">
        <v>683</v>
      </c>
      <c r="AZ14" s="9" t="s">
        <v>692</v>
      </c>
      <c r="BA14" s="9" t="s">
        <v>695</v>
      </c>
      <c r="BB14" s="9" t="s">
        <v>697</v>
      </c>
      <c r="BC14" s="9" t="s">
        <v>166</v>
      </c>
      <c r="BD14" s="9" t="s">
        <v>555</v>
      </c>
      <c r="BE14" s="9" t="s">
        <v>637</v>
      </c>
      <c r="BF14" s="9" t="s">
        <v>721</v>
      </c>
      <c r="BK14">
        <f t="shared" ca="1" si="1"/>
        <v>55</v>
      </c>
      <c r="BL14">
        <f t="shared" ca="1" si="1"/>
        <v>19</v>
      </c>
      <c r="BM14">
        <f t="shared" ca="1" si="1"/>
        <v>68</v>
      </c>
      <c r="BN14">
        <f t="shared" ca="1" si="1"/>
        <v>100</v>
      </c>
      <c r="BO14">
        <f t="shared" ca="1" si="1"/>
        <v>69</v>
      </c>
      <c r="BP14">
        <f t="shared" ca="1" si="1"/>
        <v>60</v>
      </c>
      <c r="BQ14">
        <f t="shared" ca="1" si="1"/>
        <v>68</v>
      </c>
      <c r="BR14">
        <f t="shared" ca="1" si="1"/>
        <v>36</v>
      </c>
      <c r="BS14">
        <f t="shared" ca="1" si="1"/>
        <v>3</v>
      </c>
      <c r="BT14">
        <f t="shared" ca="1" si="1"/>
        <v>72</v>
      </c>
      <c r="BU14">
        <f t="shared" ca="1" si="1"/>
        <v>99</v>
      </c>
      <c r="BV14">
        <f t="shared" ca="1" si="1"/>
        <v>72</v>
      </c>
    </row>
    <row r="15" spans="1:77" s="20" customFormat="1" x14ac:dyDescent="0.3">
      <c r="A15" s="49">
        <v>14</v>
      </c>
      <c r="B15" s="19" t="str">
        <f t="shared" ca="1" si="2"/>
        <v>Short</v>
      </c>
      <c r="C15" s="19" t="str">
        <f t="shared" ca="1" si="3"/>
        <v>+3</v>
      </c>
      <c r="D15" s="19">
        <f t="shared" ca="1" si="4"/>
        <v>0</v>
      </c>
      <c r="E15" s="19" t="str">
        <f t="shared" ca="1" si="5"/>
        <v>Nil</v>
      </c>
      <c r="F15" s="19" t="str">
        <f t="shared" ca="1" si="6"/>
        <v>Nil</v>
      </c>
      <c r="G15" s="19" t="str">
        <f ca="1">IF(AB15&lt;=VLOOKUP(D15,'power prob array'!$A:$M,2), VLOOKUP(Swords!BK15,Swords!$AS:$BB,10), "")</f>
        <v/>
      </c>
      <c r="H15" s="19" t="str">
        <f ca="1">IF(AC15&lt;=VLOOKUP(D15,'power prob array'!$A:$M,3), VLOOKUP(Swords!BL15,Swords!$AS:$BB,10), "")</f>
        <v/>
      </c>
      <c r="I15" s="19" t="str">
        <f ca="1">IF(AD15&lt;=VLOOKUP(D15,'power prob array'!$A:$M,4), VLOOKUP(Swords!BM15,Swords!$AS:$BB,10), "")</f>
        <v/>
      </c>
      <c r="J15" s="19" t="str">
        <f ca="1">IF(AE15&lt;=VLOOKUP(D15,'power prob array'!$A:$M,5), VLOOKUP(Swords!BN15,Swords!$AS:$BB,10), "")</f>
        <v/>
      </c>
      <c r="K15" s="19" t="str">
        <f ca="1">IF(AF15&lt;=VLOOKUP(D15,'power prob array'!$A:$M,6), VLOOKUP(Swords!BO15,Swords!$AS:$BB,10), "")</f>
        <v/>
      </c>
      <c r="L15" s="19" t="str">
        <f ca="1">IF(AG15&lt;=VLOOKUP(D15,'power prob array'!$A:$M,7), VLOOKUP(Swords!BP15,Swords!$AS:$BB,10), "")</f>
        <v/>
      </c>
      <c r="M15" s="19" t="str">
        <f t="shared" ca="1" si="7"/>
        <v>No</v>
      </c>
      <c r="N15" s="19" t="str">
        <f ca="1">IF(AI15&lt;=VLOOKUP(D15,'power prob array'!$A:$M,8), VLOOKUP(Swords!BQ15,Swords!$AS:$BC,11), "")</f>
        <v/>
      </c>
      <c r="O15" s="19" t="str">
        <f ca="1">IF(AJ15&lt;=VLOOKUP(D15,'power prob array'!$A:$M,9), VLOOKUP(Swords!BR15,Swords!$AS:$BC,11), "")</f>
        <v/>
      </c>
      <c r="P15" s="19" t="str">
        <f ca="1">IF(AK15&lt;=VLOOKUP(D15,'power prob array'!$A:$M,10), VLOOKUP(Swords!BS15,Swords!$AS:$BC,11), "")</f>
        <v/>
      </c>
      <c r="Q15" s="19" t="str">
        <f ca="1">IF(AL15&lt;=VLOOKUP(D15,'power prob array'!$A:$M,11), VLOOKUP(Swords!BT15,Swords!$AS:$BC,11), "")</f>
        <v/>
      </c>
      <c r="R15" s="19" t="str">
        <f ca="1">IF(AM15&lt;=VLOOKUP(D15,'power prob array'!$A:$M,12), VLOOKUP(Swords!BU15,Swords!$AS:$BC,11), "")</f>
        <v/>
      </c>
      <c r="S15" s="19" t="str">
        <f ca="1">IF(AN15&lt;=VLOOKUP(D15,'power prob array'!$A:$M,13), VLOOKUP(Swords!BV15,Swords!$AS:$BC,11), "")</f>
        <v/>
      </c>
      <c r="T15" s="18" t="str">
        <f t="shared" ca="1" si="8"/>
        <v>+1</v>
      </c>
      <c r="U15" s="18" t="str" cm="1">
        <f t="array" aca="1" ref="U15" ca="1">_xlfn.IFS(T15="Talent", VLOOKUP(AP15,$AS:$BF,14), T15="No", "", 1=1, VLOOKUP(AP15,$AS:$BF,13))</f>
        <v>Enchanted Monsters</v>
      </c>
      <c r="V15" s="1"/>
      <c r="W15" s="1"/>
      <c r="X15" s="1">
        <f t="shared" ca="1" si="0"/>
        <v>72</v>
      </c>
      <c r="Y15" s="1">
        <f t="shared" ca="1" si="0"/>
        <v>92</v>
      </c>
      <c r="Z15" s="1">
        <f t="shared" ca="1" si="0"/>
        <v>80</v>
      </c>
      <c r="AA15" s="1">
        <f t="shared" ca="1" si="0"/>
        <v>64</v>
      </c>
      <c r="AB15" s="1">
        <f t="shared" ca="1" si="0"/>
        <v>82</v>
      </c>
      <c r="AC15" s="1">
        <f t="shared" ca="1" si="0"/>
        <v>27</v>
      </c>
      <c r="AD15" s="1">
        <f t="shared" ca="1" si="0"/>
        <v>75</v>
      </c>
      <c r="AE15" s="1">
        <f t="shared" ca="1" si="0"/>
        <v>89</v>
      </c>
      <c r="AF15" s="1">
        <f t="shared" ca="1" si="0"/>
        <v>16</v>
      </c>
      <c r="AG15" s="1">
        <f t="shared" ca="1" si="0"/>
        <v>89</v>
      </c>
      <c r="AH15" s="1"/>
      <c r="AI15" s="1">
        <f t="shared" ca="1" si="0"/>
        <v>34</v>
      </c>
      <c r="AJ15" s="1">
        <f t="shared" ca="1" si="0"/>
        <v>25</v>
      </c>
      <c r="AK15" s="1">
        <f t="shared" ca="1" si="0"/>
        <v>19</v>
      </c>
      <c r="AL15" s="1">
        <f t="shared" ca="1" si="0"/>
        <v>62</v>
      </c>
      <c r="AM15" s="1">
        <f t="shared" ca="1" si="0"/>
        <v>68</v>
      </c>
      <c r="AN15" s="1">
        <f t="shared" ca="1" si="0"/>
        <v>70</v>
      </c>
      <c r="AO15" s="1">
        <f t="shared" ca="1" si="0"/>
        <v>21</v>
      </c>
      <c r="AP15" s="1">
        <f t="shared" ca="1" si="0"/>
        <v>22</v>
      </c>
      <c r="AQ15" s="1"/>
      <c r="AR15" s="1"/>
      <c r="AS15" s="20">
        <v>15</v>
      </c>
      <c r="AT15" s="20" t="s">
        <v>678</v>
      </c>
      <c r="AU15" s="21" t="s">
        <v>555</v>
      </c>
      <c r="AV15" s="21" t="s">
        <v>555</v>
      </c>
      <c r="AW15" s="21" t="s">
        <v>692</v>
      </c>
      <c r="AX15" s="21" t="s">
        <v>683</v>
      </c>
      <c r="AY15" s="22" t="s">
        <v>683</v>
      </c>
      <c r="AZ15" s="21" t="s">
        <v>692</v>
      </c>
      <c r="BA15" s="21" t="s">
        <v>695</v>
      </c>
      <c r="BB15" s="21" t="s">
        <v>697</v>
      </c>
      <c r="BC15" s="21" t="s">
        <v>166</v>
      </c>
      <c r="BD15" s="21" t="s">
        <v>555</v>
      </c>
      <c r="BE15" s="21" t="s">
        <v>637</v>
      </c>
      <c r="BF15" s="21" t="s">
        <v>721</v>
      </c>
      <c r="BK15" s="20">
        <f t="shared" ca="1" si="1"/>
        <v>82</v>
      </c>
      <c r="BL15" s="20">
        <f t="shared" ca="1" si="1"/>
        <v>44</v>
      </c>
      <c r="BM15" s="20">
        <f t="shared" ca="1" si="1"/>
        <v>74</v>
      </c>
      <c r="BN15" s="20">
        <f t="shared" ca="1" si="1"/>
        <v>2</v>
      </c>
      <c r="BO15" s="20">
        <f t="shared" ca="1" si="1"/>
        <v>100</v>
      </c>
      <c r="BP15" s="20">
        <f t="shared" ca="1" si="1"/>
        <v>66</v>
      </c>
      <c r="BQ15" s="20">
        <f t="shared" ca="1" si="1"/>
        <v>41</v>
      </c>
      <c r="BR15" s="20">
        <f t="shared" ca="1" si="1"/>
        <v>84</v>
      </c>
      <c r="BS15" s="20">
        <f t="shared" ca="1" si="1"/>
        <v>22</v>
      </c>
      <c r="BT15" s="20">
        <f t="shared" ca="1" si="1"/>
        <v>63</v>
      </c>
      <c r="BU15" s="20">
        <f t="shared" ca="1" si="1"/>
        <v>65</v>
      </c>
      <c r="BV15" s="20">
        <f t="shared" ca="1" si="1"/>
        <v>65</v>
      </c>
      <c r="BX15" s="23"/>
    </row>
    <row r="16" spans="1:77" x14ac:dyDescent="0.3">
      <c r="A16" s="49">
        <v>15</v>
      </c>
      <c r="B16" s="18" t="str">
        <f t="shared" ca="1" si="2"/>
        <v>Normal</v>
      </c>
      <c r="C16" s="18" t="str">
        <f t="shared" ca="1" si="3"/>
        <v>+1</v>
      </c>
      <c r="D16" s="18">
        <f t="shared" ca="1" si="4"/>
        <v>7</v>
      </c>
      <c r="E16" s="18" t="str">
        <f t="shared" ca="1" si="5"/>
        <v>Empathy</v>
      </c>
      <c r="F16" s="18" t="str">
        <f t="shared" ca="1" si="6"/>
        <v>Nil</v>
      </c>
      <c r="G16" s="18" t="str">
        <f ca="1">IF(AB16&lt;=VLOOKUP(D16,'power prob array'!$A:$M,2), VLOOKUP(Swords!BK16,Swords!$AS:$BB,10), "")</f>
        <v>Detect Evil (Good)</v>
      </c>
      <c r="H16" s="18" t="str">
        <f ca="1">IF(AC16&lt;=VLOOKUP(D16,'power prob array'!$A:$M,3), VLOOKUP(Swords!BL16,Swords!$AS:$BB,10), "")</f>
        <v/>
      </c>
      <c r="I16" s="18" t="str">
        <f ca="1">IF(AD16&lt;=VLOOKUP(D16,'power prob array'!$A:$M,4), VLOOKUP(Swords!BM16,Swords!$AS:$BB,10), "")</f>
        <v/>
      </c>
      <c r="J16" s="18" t="str">
        <f ca="1">IF(AE16&lt;=VLOOKUP(D16,'power prob array'!$A:$M,5), VLOOKUP(Swords!BN16,Swords!$AS:$BB,10), "")</f>
        <v/>
      </c>
      <c r="K16" s="18" t="str">
        <f ca="1">IF(AF16&lt;=VLOOKUP(D16,'power prob array'!$A:$M,6), VLOOKUP(Swords!BO16,Swords!$AS:$BB,10), "")</f>
        <v/>
      </c>
      <c r="L16" s="18" t="str">
        <f ca="1">IF(AG16&lt;=VLOOKUP(D16,'power prob array'!$A:$M,7), VLOOKUP(Swords!BP16,Swords!$AS:$BB,10), "")</f>
        <v/>
      </c>
      <c r="M16" s="18" t="str">
        <f t="shared" ca="1" si="7"/>
        <v>No</v>
      </c>
      <c r="N16" s="18" t="str">
        <f ca="1">IF(AI16&lt;=VLOOKUP(D16,'power prob array'!$A:$M,8), VLOOKUP(Swords!BQ16,Swords!$AS:$BC,11), "")</f>
        <v/>
      </c>
      <c r="O16" s="18" t="str">
        <f ca="1">IF(AJ16&lt;=VLOOKUP(D16,'power prob array'!$A:$M,9), VLOOKUP(Swords!BR16,Swords!$AS:$BC,11), "")</f>
        <v/>
      </c>
      <c r="P16" s="18" t="str">
        <f ca="1">IF(AK16&lt;=VLOOKUP(D16,'power prob array'!$A:$M,10), VLOOKUP(Swords!BS16,Swords!$AS:$BC,11), "")</f>
        <v/>
      </c>
      <c r="Q16" s="18" t="str">
        <f ca="1">IF(AL16&lt;=VLOOKUP(D16,'power prob array'!$A:$M,11), VLOOKUP(Swords!BT16,Swords!$AS:$BC,11), "")</f>
        <v/>
      </c>
      <c r="R16" s="18" t="str">
        <f ca="1">IF(AM16&lt;=VLOOKUP(D16,'power prob array'!$A:$M,12), VLOOKUP(Swords!BU16,Swords!$AS:$BC,11), "")</f>
        <v/>
      </c>
      <c r="S16" s="18" t="str">
        <f ca="1">IF(AN16&lt;=VLOOKUP(D16,'power prob array'!$A:$M,13), VLOOKUP(Swords!BV16,Swords!$AS:$BC,11), "")</f>
        <v/>
      </c>
      <c r="T16" s="18" t="str">
        <f t="shared" ca="1" si="8"/>
        <v>No</v>
      </c>
      <c r="U16" s="18" t="str" cm="1">
        <f t="array" aca="1" ref="U16" ca="1">_xlfn.IFS(T16="Talent", VLOOKUP(AP16,$AS:$BF,14), T16="No", "", 1=1, VLOOKUP(AP16,$AS:$BF,13))</f>
        <v/>
      </c>
      <c r="V16" s="1"/>
      <c r="W16" s="1"/>
      <c r="X16" s="1">
        <f t="shared" ca="1" si="0"/>
        <v>24</v>
      </c>
      <c r="Y16" s="1">
        <f t="shared" ca="1" si="0"/>
        <v>11</v>
      </c>
      <c r="Z16" s="1">
        <f t="shared" ca="1" si="0"/>
        <v>54</v>
      </c>
      <c r="AA16" s="1">
        <f t="shared" ref="AA16:AP31" ca="1" si="9">RANDBETWEEN(1,100)</f>
        <v>80</v>
      </c>
      <c r="AB16" s="1">
        <f t="shared" ca="1" si="9"/>
        <v>74</v>
      </c>
      <c r="AC16" s="1">
        <f t="shared" ca="1" si="9"/>
        <v>41</v>
      </c>
      <c r="AD16" s="1">
        <f t="shared" ca="1" si="9"/>
        <v>32</v>
      </c>
      <c r="AE16" s="1">
        <f t="shared" ca="1" si="9"/>
        <v>59</v>
      </c>
      <c r="AF16" s="1">
        <f t="shared" ca="1" si="9"/>
        <v>75</v>
      </c>
      <c r="AG16" s="1">
        <f t="shared" ca="1" si="9"/>
        <v>82</v>
      </c>
      <c r="AH16" s="1"/>
      <c r="AI16" s="1">
        <f t="shared" ca="1" si="9"/>
        <v>16</v>
      </c>
      <c r="AJ16" s="1">
        <f t="shared" ca="1" si="9"/>
        <v>87</v>
      </c>
      <c r="AK16" s="1">
        <f t="shared" ca="1" si="9"/>
        <v>38</v>
      </c>
      <c r="AL16" s="1">
        <f t="shared" ca="1" si="9"/>
        <v>53</v>
      </c>
      <c r="AM16" s="1">
        <f t="shared" ca="1" si="9"/>
        <v>46</v>
      </c>
      <c r="AN16" s="1">
        <f t="shared" ca="1" si="9"/>
        <v>17</v>
      </c>
      <c r="AO16" s="1">
        <f t="shared" ca="1" si="9"/>
        <v>77</v>
      </c>
      <c r="AP16" s="1">
        <f t="shared" ca="1" si="9"/>
        <v>53</v>
      </c>
      <c r="AQ16" s="1"/>
      <c r="AR16" s="1"/>
      <c r="AS16">
        <v>16</v>
      </c>
      <c r="AT16" t="s">
        <v>678</v>
      </c>
      <c r="AU16" s="9" t="s">
        <v>555</v>
      </c>
      <c r="AV16" s="9" t="s">
        <v>555</v>
      </c>
      <c r="AW16" s="9" t="s">
        <v>692</v>
      </c>
      <c r="AX16" s="9" t="s">
        <v>683</v>
      </c>
      <c r="AY16" s="16" t="s">
        <v>683</v>
      </c>
      <c r="AZ16" s="9" t="s">
        <v>692</v>
      </c>
      <c r="BA16" s="9" t="s">
        <v>695</v>
      </c>
      <c r="BB16" s="9" t="s">
        <v>350</v>
      </c>
      <c r="BC16" s="9" t="s">
        <v>166</v>
      </c>
      <c r="BD16" s="9" t="s">
        <v>555</v>
      </c>
      <c r="BE16" s="9" t="s">
        <v>638</v>
      </c>
      <c r="BF16" s="9" t="s">
        <v>721</v>
      </c>
      <c r="BK16">
        <f t="shared" ca="1" si="1"/>
        <v>1</v>
      </c>
      <c r="BL16">
        <f t="shared" ca="1" si="1"/>
        <v>24</v>
      </c>
      <c r="BM16">
        <f t="shared" ca="1" si="1"/>
        <v>23</v>
      </c>
      <c r="BN16">
        <f t="shared" ca="1" si="1"/>
        <v>51</v>
      </c>
      <c r="BO16">
        <f t="shared" ca="1" si="1"/>
        <v>19</v>
      </c>
      <c r="BP16">
        <f t="shared" ca="1" si="1"/>
        <v>39</v>
      </c>
      <c r="BQ16">
        <f t="shared" ca="1" si="1"/>
        <v>8</v>
      </c>
      <c r="BR16">
        <f t="shared" ca="1" si="1"/>
        <v>72</v>
      </c>
      <c r="BS16">
        <f t="shared" ca="1" si="1"/>
        <v>98</v>
      </c>
      <c r="BT16">
        <f t="shared" ca="1" si="1"/>
        <v>59</v>
      </c>
      <c r="BU16">
        <f t="shared" ca="1" si="1"/>
        <v>59</v>
      </c>
      <c r="BV16">
        <f t="shared" ca="1" si="1"/>
        <v>89</v>
      </c>
    </row>
    <row r="17" spans="1:76" s="20" customFormat="1" x14ac:dyDescent="0.3">
      <c r="A17" s="49">
        <v>16</v>
      </c>
      <c r="B17" s="19" t="str">
        <f t="shared" ca="1" si="2"/>
        <v>Two-handed</v>
      </c>
      <c r="C17" s="19" t="str">
        <f t="shared" ca="1" si="3"/>
        <v>+1</v>
      </c>
      <c r="D17" s="19">
        <f t="shared" ca="1" si="4"/>
        <v>0</v>
      </c>
      <c r="E17" s="19" t="str">
        <f t="shared" ca="1" si="5"/>
        <v>Nil</v>
      </c>
      <c r="F17" s="19" t="str">
        <f t="shared" ca="1" si="6"/>
        <v>Nil</v>
      </c>
      <c r="G17" s="19" t="str">
        <f ca="1">IF(AB17&lt;=VLOOKUP(D17,'power prob array'!$A:$M,2), VLOOKUP(Swords!BK17,Swords!$AS:$BB,10), "")</f>
        <v/>
      </c>
      <c r="H17" s="19" t="str">
        <f ca="1">IF(AC17&lt;=VLOOKUP(D17,'power prob array'!$A:$M,3), VLOOKUP(Swords!BL17,Swords!$AS:$BB,10), "")</f>
        <v/>
      </c>
      <c r="I17" s="19" t="str">
        <f ca="1">IF(AD17&lt;=VLOOKUP(D17,'power prob array'!$A:$M,4), VLOOKUP(Swords!BM17,Swords!$AS:$BB,10), "")</f>
        <v/>
      </c>
      <c r="J17" s="19" t="str">
        <f ca="1">IF(AE17&lt;=VLOOKUP(D17,'power prob array'!$A:$M,5), VLOOKUP(Swords!BN17,Swords!$AS:$BB,10), "")</f>
        <v/>
      </c>
      <c r="K17" s="19" t="str">
        <f ca="1">IF(AF17&lt;=VLOOKUP(D17,'power prob array'!$A:$M,6), VLOOKUP(Swords!BO17,Swords!$AS:$BB,10), "")</f>
        <v/>
      </c>
      <c r="L17" s="19" t="str">
        <f ca="1">IF(AG17&lt;=VLOOKUP(D17,'power prob array'!$A:$M,7), VLOOKUP(Swords!BP17,Swords!$AS:$BB,10), "")</f>
        <v/>
      </c>
      <c r="M17" s="19" t="str">
        <f t="shared" ca="1" si="7"/>
        <v>No</v>
      </c>
      <c r="N17" s="19" t="str">
        <f ca="1">IF(AI17&lt;=VLOOKUP(D17,'power prob array'!$A:$M,8), VLOOKUP(Swords!BQ17,Swords!$AS:$BC,11), "")</f>
        <v/>
      </c>
      <c r="O17" s="19" t="str">
        <f ca="1">IF(AJ17&lt;=VLOOKUP(D17,'power prob array'!$A:$M,9), VLOOKUP(Swords!BR17,Swords!$AS:$BC,11), "")</f>
        <v/>
      </c>
      <c r="P17" s="19" t="str">
        <f ca="1">IF(AK17&lt;=VLOOKUP(D17,'power prob array'!$A:$M,10), VLOOKUP(Swords!BS17,Swords!$AS:$BC,11), "")</f>
        <v/>
      </c>
      <c r="Q17" s="19" t="str">
        <f ca="1">IF(AL17&lt;=VLOOKUP(D17,'power prob array'!$A:$M,11), VLOOKUP(Swords!BT17,Swords!$AS:$BC,11), "")</f>
        <v/>
      </c>
      <c r="R17" s="19" t="str">
        <f ca="1">IF(AM17&lt;=VLOOKUP(D17,'power prob array'!$A:$M,12), VLOOKUP(Swords!BU17,Swords!$AS:$BC,11), "")</f>
        <v/>
      </c>
      <c r="S17" s="19" t="str">
        <f ca="1">IF(AN17&lt;=VLOOKUP(D17,'power prob array'!$A:$M,13), VLOOKUP(Swords!BV17,Swords!$AS:$BC,11), "")</f>
        <v/>
      </c>
      <c r="T17" s="18" t="str">
        <f t="shared" ca="1" si="8"/>
        <v>+4</v>
      </c>
      <c r="U17" s="18" t="str" cm="1">
        <f t="array" aca="1" ref="U17" ca="1">_xlfn.IFS(T17="Talent", VLOOKUP(AP17,$AS:$BF,14), T17="No", "", 1=1, VLOOKUP(AP17,$AS:$BF,13))</f>
        <v>Spellcasters</v>
      </c>
      <c r="V17" s="1"/>
      <c r="W17" s="1"/>
      <c r="X17" s="1">
        <f t="shared" ref="X17:AM32" ca="1" si="10">RANDBETWEEN(1,100)</f>
        <v>88</v>
      </c>
      <c r="Y17" s="1">
        <f t="shared" ca="1" si="10"/>
        <v>62</v>
      </c>
      <c r="Z17" s="1">
        <f t="shared" ca="1" si="10"/>
        <v>42</v>
      </c>
      <c r="AA17" s="1">
        <f t="shared" ca="1" si="10"/>
        <v>35</v>
      </c>
      <c r="AB17" s="1">
        <f t="shared" ca="1" si="10"/>
        <v>2</v>
      </c>
      <c r="AC17" s="1">
        <f t="shared" ca="1" si="10"/>
        <v>65</v>
      </c>
      <c r="AD17" s="1">
        <f t="shared" ca="1" si="10"/>
        <v>51</v>
      </c>
      <c r="AE17" s="1">
        <f t="shared" ca="1" si="10"/>
        <v>7</v>
      </c>
      <c r="AF17" s="1">
        <f t="shared" ca="1" si="10"/>
        <v>67</v>
      </c>
      <c r="AG17" s="1">
        <f t="shared" ca="1" si="10"/>
        <v>28</v>
      </c>
      <c r="AH17" s="1"/>
      <c r="AI17" s="1">
        <f t="shared" ca="1" si="10"/>
        <v>31</v>
      </c>
      <c r="AJ17" s="1">
        <f t="shared" ca="1" si="10"/>
        <v>23</v>
      </c>
      <c r="AK17" s="1">
        <f t="shared" ca="1" si="10"/>
        <v>11</v>
      </c>
      <c r="AL17" s="1">
        <f t="shared" ca="1" si="10"/>
        <v>86</v>
      </c>
      <c r="AM17" s="1">
        <f t="shared" ca="1" si="10"/>
        <v>54</v>
      </c>
      <c r="AN17" s="1">
        <f t="shared" ca="1" si="9"/>
        <v>69</v>
      </c>
      <c r="AO17" s="1">
        <f t="shared" ca="1" si="9"/>
        <v>15</v>
      </c>
      <c r="AP17" s="1">
        <f t="shared" ca="1" si="9"/>
        <v>72</v>
      </c>
      <c r="AQ17" s="1"/>
      <c r="AR17" s="1"/>
      <c r="AS17" s="20">
        <v>17</v>
      </c>
      <c r="AT17" s="20" t="s">
        <v>678</v>
      </c>
      <c r="AU17" s="21" t="s">
        <v>555</v>
      </c>
      <c r="AV17" s="21" t="s">
        <v>555</v>
      </c>
      <c r="AW17" s="21" t="s">
        <v>692</v>
      </c>
      <c r="AX17" s="21" t="s">
        <v>683</v>
      </c>
      <c r="AY17" s="22" t="s">
        <v>683</v>
      </c>
      <c r="AZ17" s="21" t="s">
        <v>692</v>
      </c>
      <c r="BA17" s="21" t="s">
        <v>695</v>
      </c>
      <c r="BB17" s="21" t="s">
        <v>350</v>
      </c>
      <c r="BC17" s="21" t="s">
        <v>166</v>
      </c>
      <c r="BD17" s="21" t="s">
        <v>555</v>
      </c>
      <c r="BE17" s="21" t="s">
        <v>638</v>
      </c>
      <c r="BF17" s="21" t="s">
        <v>652</v>
      </c>
      <c r="BK17" s="20">
        <f t="shared" ca="1" si="1"/>
        <v>41</v>
      </c>
      <c r="BL17" s="20">
        <f t="shared" ca="1" si="1"/>
        <v>90</v>
      </c>
      <c r="BM17" s="20">
        <f t="shared" ca="1" si="1"/>
        <v>33</v>
      </c>
      <c r="BN17" s="20">
        <f t="shared" ca="1" si="1"/>
        <v>36</v>
      </c>
      <c r="BO17" s="20">
        <f t="shared" ca="1" si="1"/>
        <v>44</v>
      </c>
      <c r="BP17" s="20">
        <f t="shared" ca="1" si="1"/>
        <v>84</v>
      </c>
      <c r="BQ17" s="20">
        <f t="shared" ca="1" si="1"/>
        <v>11</v>
      </c>
      <c r="BR17" s="20">
        <f t="shared" ca="1" si="1"/>
        <v>94</v>
      </c>
      <c r="BS17" s="20">
        <f t="shared" ca="1" si="1"/>
        <v>11</v>
      </c>
      <c r="BT17" s="20">
        <f t="shared" ca="1" si="1"/>
        <v>50</v>
      </c>
      <c r="BU17" s="20">
        <f t="shared" ca="1" si="1"/>
        <v>8</v>
      </c>
      <c r="BV17" s="20">
        <f t="shared" ca="1" si="1"/>
        <v>27</v>
      </c>
      <c r="BX17" s="23"/>
    </row>
    <row r="18" spans="1:76" x14ac:dyDescent="0.3">
      <c r="A18" s="49">
        <v>17</v>
      </c>
      <c r="B18" s="18" t="str">
        <f t="shared" ca="1" si="2"/>
        <v>Normal</v>
      </c>
      <c r="C18" s="18" t="str">
        <f t="shared" ca="1" si="3"/>
        <v>+3</v>
      </c>
      <c r="D18" s="18">
        <f t="shared" ca="1" si="4"/>
        <v>0</v>
      </c>
      <c r="E18" s="18" t="str">
        <f t="shared" ca="1" si="5"/>
        <v>Nil</v>
      </c>
      <c r="F18" s="18" t="str">
        <f t="shared" ca="1" si="6"/>
        <v>Nil</v>
      </c>
      <c r="G18" s="18" t="str">
        <f ca="1">IF(AB18&lt;=VLOOKUP(D18,'power prob array'!$A:$M,2), VLOOKUP(Swords!BK18,Swords!$AS:$BB,10), "")</f>
        <v/>
      </c>
      <c r="H18" s="18" t="str">
        <f ca="1">IF(AC18&lt;=VLOOKUP(D18,'power prob array'!$A:$M,3), VLOOKUP(Swords!BL18,Swords!$AS:$BB,10), "")</f>
        <v/>
      </c>
      <c r="I18" s="18" t="str">
        <f ca="1">IF(AD18&lt;=VLOOKUP(D18,'power prob array'!$A:$M,4), VLOOKUP(Swords!BM18,Swords!$AS:$BB,10), "")</f>
        <v/>
      </c>
      <c r="J18" s="18" t="str">
        <f ca="1">IF(AE18&lt;=VLOOKUP(D18,'power prob array'!$A:$M,5), VLOOKUP(Swords!BN18,Swords!$AS:$BB,10), "")</f>
        <v/>
      </c>
      <c r="K18" s="18" t="str">
        <f ca="1">IF(AF18&lt;=VLOOKUP(D18,'power prob array'!$A:$M,6), VLOOKUP(Swords!BO18,Swords!$AS:$BB,10), "")</f>
        <v/>
      </c>
      <c r="L18" s="18" t="str">
        <f ca="1">IF(AG18&lt;=VLOOKUP(D18,'power prob array'!$A:$M,7), VLOOKUP(Swords!BP18,Swords!$AS:$BB,10), "")</f>
        <v/>
      </c>
      <c r="M18" s="18" t="str">
        <f t="shared" ca="1" si="7"/>
        <v>No</v>
      </c>
      <c r="N18" s="18" t="str">
        <f ca="1">IF(AI18&lt;=VLOOKUP(D18,'power prob array'!$A:$M,8), VLOOKUP(Swords!BQ18,Swords!$AS:$BC,11), "")</f>
        <v/>
      </c>
      <c r="O18" s="18" t="str">
        <f ca="1">IF(AJ18&lt;=VLOOKUP(D18,'power prob array'!$A:$M,9), VLOOKUP(Swords!BR18,Swords!$AS:$BC,11), "")</f>
        <v/>
      </c>
      <c r="P18" s="18" t="str">
        <f ca="1">IF(AK18&lt;=VLOOKUP(D18,'power prob array'!$A:$M,10), VLOOKUP(Swords!BS18,Swords!$AS:$BC,11), "")</f>
        <v/>
      </c>
      <c r="Q18" s="18" t="str">
        <f ca="1">IF(AL18&lt;=VLOOKUP(D18,'power prob array'!$A:$M,11), VLOOKUP(Swords!BT18,Swords!$AS:$BC,11), "")</f>
        <v/>
      </c>
      <c r="R18" s="18" t="str">
        <f ca="1">IF(AM18&lt;=VLOOKUP(D18,'power prob array'!$A:$M,12), VLOOKUP(Swords!BU18,Swords!$AS:$BC,11), "")</f>
        <v/>
      </c>
      <c r="S18" s="18" t="str">
        <f ca="1">IF(AN18&lt;=VLOOKUP(D18,'power prob array'!$A:$M,13), VLOOKUP(Swords!BV18,Swords!$AS:$BC,11), "")</f>
        <v/>
      </c>
      <c r="T18" s="18" t="str">
        <f t="shared" ca="1" si="8"/>
        <v>No</v>
      </c>
      <c r="U18" s="18" t="str" cm="1">
        <f t="array" aca="1" ref="U18" ca="1">_xlfn.IFS(T18="Talent", VLOOKUP(AP18,$AS:$BF,14), T18="No", "", 1=1, VLOOKUP(AP18,$AS:$BF,13))</f>
        <v/>
      </c>
      <c r="V18" s="1"/>
      <c r="W18" s="1"/>
      <c r="X18" s="1">
        <f t="shared" ca="1" si="10"/>
        <v>23</v>
      </c>
      <c r="Y18" s="1">
        <f t="shared" ca="1" si="10"/>
        <v>95</v>
      </c>
      <c r="Z18" s="1">
        <f t="shared" ca="1" si="10"/>
        <v>95</v>
      </c>
      <c r="AA18" s="1">
        <f t="shared" ca="1" si="10"/>
        <v>75</v>
      </c>
      <c r="AB18" s="1">
        <f t="shared" ca="1" si="10"/>
        <v>1</v>
      </c>
      <c r="AC18" s="1">
        <f t="shared" ca="1" si="10"/>
        <v>40</v>
      </c>
      <c r="AD18" s="1">
        <f t="shared" ca="1" si="10"/>
        <v>80</v>
      </c>
      <c r="AE18" s="1">
        <f t="shared" ca="1" si="10"/>
        <v>59</v>
      </c>
      <c r="AF18" s="1">
        <f t="shared" ca="1" si="10"/>
        <v>55</v>
      </c>
      <c r="AG18" s="1">
        <f t="shared" ca="1" si="10"/>
        <v>79</v>
      </c>
      <c r="AH18" s="1"/>
      <c r="AI18" s="1">
        <f t="shared" ca="1" si="10"/>
        <v>55</v>
      </c>
      <c r="AJ18" s="1">
        <f t="shared" ca="1" si="10"/>
        <v>100</v>
      </c>
      <c r="AK18" s="1">
        <f t="shared" ca="1" si="10"/>
        <v>49</v>
      </c>
      <c r="AL18" s="1">
        <f t="shared" ca="1" si="10"/>
        <v>40</v>
      </c>
      <c r="AM18" s="1">
        <f t="shared" ca="1" si="10"/>
        <v>47</v>
      </c>
      <c r="AN18" s="1">
        <f t="shared" ca="1" si="9"/>
        <v>65</v>
      </c>
      <c r="AO18" s="1">
        <f t="shared" ca="1" si="9"/>
        <v>26</v>
      </c>
      <c r="AP18" s="1">
        <f t="shared" ca="1" si="9"/>
        <v>43</v>
      </c>
      <c r="AQ18" s="1"/>
      <c r="AR18" s="1"/>
      <c r="AS18">
        <v>18</v>
      </c>
      <c r="AT18" t="s">
        <v>678</v>
      </c>
      <c r="AU18" s="9" t="s">
        <v>555</v>
      </c>
      <c r="AV18" s="9" t="s">
        <v>555</v>
      </c>
      <c r="AW18" s="9" t="s">
        <v>692</v>
      </c>
      <c r="AX18" s="9" t="s">
        <v>683</v>
      </c>
      <c r="AY18" s="16" t="s">
        <v>683</v>
      </c>
      <c r="AZ18" s="9" t="s">
        <v>692</v>
      </c>
      <c r="BA18" s="9" t="s">
        <v>695</v>
      </c>
      <c r="BB18" s="9" t="s">
        <v>350</v>
      </c>
      <c r="BC18" s="9" t="s">
        <v>166</v>
      </c>
      <c r="BD18" s="9" t="s">
        <v>555</v>
      </c>
      <c r="BE18" s="9" t="s">
        <v>638</v>
      </c>
      <c r="BF18" s="9" t="s">
        <v>652</v>
      </c>
      <c r="BK18">
        <f t="shared" ref="BK18:BV35" ca="1" si="11">RANDBETWEEN(1,100)</f>
        <v>92</v>
      </c>
      <c r="BL18">
        <f t="shared" ca="1" si="11"/>
        <v>50</v>
      </c>
      <c r="BM18">
        <f t="shared" ca="1" si="11"/>
        <v>21</v>
      </c>
      <c r="BN18">
        <f t="shared" ca="1" si="11"/>
        <v>56</v>
      </c>
      <c r="BO18">
        <f t="shared" ca="1" si="11"/>
        <v>12</v>
      </c>
      <c r="BP18">
        <f t="shared" ca="1" si="11"/>
        <v>86</v>
      </c>
      <c r="BQ18">
        <f t="shared" ca="1" si="11"/>
        <v>38</v>
      </c>
      <c r="BR18">
        <f t="shared" ca="1" si="11"/>
        <v>42</v>
      </c>
      <c r="BS18">
        <f t="shared" ca="1" si="11"/>
        <v>2</v>
      </c>
      <c r="BT18">
        <f t="shared" ca="1" si="11"/>
        <v>88</v>
      </c>
      <c r="BU18">
        <f t="shared" ca="1" si="11"/>
        <v>3</v>
      </c>
      <c r="BV18">
        <f t="shared" ca="1" si="11"/>
        <v>90</v>
      </c>
    </row>
    <row r="19" spans="1:76" s="20" customFormat="1" x14ac:dyDescent="0.3">
      <c r="A19" s="49">
        <v>18</v>
      </c>
      <c r="B19" s="19" t="str">
        <f t="shared" ca="1" si="2"/>
        <v>Two-handed</v>
      </c>
      <c r="C19" s="19" t="str">
        <f t="shared" ca="1" si="3"/>
        <v>+3</v>
      </c>
      <c r="D19" s="19">
        <f t="shared" ca="1" si="4"/>
        <v>0</v>
      </c>
      <c r="E19" s="19" t="str">
        <f t="shared" ca="1" si="5"/>
        <v>Nil</v>
      </c>
      <c r="F19" s="19" t="str">
        <f t="shared" ca="1" si="6"/>
        <v>Nil</v>
      </c>
      <c r="G19" s="19" t="str">
        <f ca="1">IF(AB19&lt;=VLOOKUP(D19,'power prob array'!$A:$M,2), VLOOKUP(Swords!BK19,Swords!$AS:$BB,10), "")</f>
        <v/>
      </c>
      <c r="H19" s="19" t="str">
        <f ca="1">IF(AC19&lt;=VLOOKUP(D19,'power prob array'!$A:$M,3), VLOOKUP(Swords!BL19,Swords!$AS:$BB,10), "")</f>
        <v/>
      </c>
      <c r="I19" s="19" t="str">
        <f ca="1">IF(AD19&lt;=VLOOKUP(D19,'power prob array'!$A:$M,4), VLOOKUP(Swords!BM19,Swords!$AS:$BB,10), "")</f>
        <v/>
      </c>
      <c r="J19" s="19" t="str">
        <f ca="1">IF(AE19&lt;=VLOOKUP(D19,'power prob array'!$A:$M,5), VLOOKUP(Swords!BN19,Swords!$AS:$BB,10), "")</f>
        <v/>
      </c>
      <c r="K19" s="19" t="str">
        <f ca="1">IF(AF19&lt;=VLOOKUP(D19,'power prob array'!$A:$M,6), VLOOKUP(Swords!BO19,Swords!$AS:$BB,10), "")</f>
        <v/>
      </c>
      <c r="L19" s="19" t="str">
        <f ca="1">IF(AG19&lt;=VLOOKUP(D19,'power prob array'!$A:$M,7), VLOOKUP(Swords!BP19,Swords!$AS:$BB,10), "")</f>
        <v/>
      </c>
      <c r="M19" s="19" t="str">
        <f t="shared" ca="1" si="7"/>
        <v>No</v>
      </c>
      <c r="N19" s="19" t="str">
        <f ca="1">IF(AI19&lt;=VLOOKUP(D19,'power prob array'!$A:$M,8), VLOOKUP(Swords!BQ19,Swords!$AS:$BC,11), "")</f>
        <v/>
      </c>
      <c r="O19" s="19" t="str">
        <f ca="1">IF(AJ19&lt;=VLOOKUP(D19,'power prob array'!$A:$M,9), VLOOKUP(Swords!BR19,Swords!$AS:$BC,11), "")</f>
        <v/>
      </c>
      <c r="P19" s="19" t="str">
        <f ca="1">IF(AK19&lt;=VLOOKUP(D19,'power prob array'!$A:$M,10), VLOOKUP(Swords!BS19,Swords!$AS:$BC,11), "")</f>
        <v/>
      </c>
      <c r="Q19" s="19" t="str">
        <f ca="1">IF(AL19&lt;=VLOOKUP(D19,'power prob array'!$A:$M,11), VLOOKUP(Swords!BT19,Swords!$AS:$BC,11), "")</f>
        <v/>
      </c>
      <c r="R19" s="19" t="str">
        <f ca="1">IF(AM19&lt;=VLOOKUP(D19,'power prob array'!$A:$M,12), VLOOKUP(Swords!BU19,Swords!$AS:$BC,11), "")</f>
        <v/>
      </c>
      <c r="S19" s="19" t="str">
        <f ca="1">IF(AN19&lt;=VLOOKUP(D19,'power prob array'!$A:$M,13), VLOOKUP(Swords!BV19,Swords!$AS:$BC,11), "")</f>
        <v/>
      </c>
      <c r="T19" s="18" t="str">
        <f t="shared" ca="1" si="8"/>
        <v>Talent</v>
      </c>
      <c r="U19" s="18" t="str" cm="1">
        <f t="array" aca="1" ref="U19" ca="1">_xlfn.IFS(T19="Talent", VLOOKUP(AP19,$AS:$BF,14), T19="No", "", 1=1, VLOOKUP(AP19,$AS:$BF,13))</f>
        <v>Speeding</v>
      </c>
      <c r="V19" s="1"/>
      <c r="W19" s="1"/>
      <c r="X19" s="1">
        <f t="shared" ca="1" si="10"/>
        <v>89</v>
      </c>
      <c r="Y19" s="1">
        <f t="shared" ca="1" si="10"/>
        <v>96</v>
      </c>
      <c r="Z19" s="1">
        <f t="shared" ca="1" si="10"/>
        <v>36</v>
      </c>
      <c r="AA19" s="1">
        <f t="shared" ca="1" si="10"/>
        <v>51</v>
      </c>
      <c r="AB19" s="1">
        <f t="shared" ca="1" si="10"/>
        <v>91</v>
      </c>
      <c r="AC19" s="1">
        <f t="shared" ca="1" si="10"/>
        <v>17</v>
      </c>
      <c r="AD19" s="1">
        <f t="shared" ca="1" si="10"/>
        <v>89</v>
      </c>
      <c r="AE19" s="1">
        <f t="shared" ca="1" si="10"/>
        <v>96</v>
      </c>
      <c r="AF19" s="1">
        <f t="shared" ca="1" si="10"/>
        <v>45</v>
      </c>
      <c r="AG19" s="1">
        <f t="shared" ca="1" si="10"/>
        <v>50</v>
      </c>
      <c r="AH19" s="1"/>
      <c r="AI19" s="1">
        <f t="shared" ca="1" si="10"/>
        <v>81</v>
      </c>
      <c r="AJ19" s="1">
        <f t="shared" ca="1" si="10"/>
        <v>13</v>
      </c>
      <c r="AK19" s="1">
        <f t="shared" ca="1" si="10"/>
        <v>9</v>
      </c>
      <c r="AL19" s="1">
        <f t="shared" ca="1" si="10"/>
        <v>96</v>
      </c>
      <c r="AM19" s="1">
        <f t="shared" ca="1" si="10"/>
        <v>3</v>
      </c>
      <c r="AN19" s="1">
        <f t="shared" ca="1" si="9"/>
        <v>77</v>
      </c>
      <c r="AO19" s="1">
        <f t="shared" ca="1" si="9"/>
        <v>25</v>
      </c>
      <c r="AP19" s="1">
        <f t="shared" ca="1" si="9"/>
        <v>88</v>
      </c>
      <c r="AQ19" s="1"/>
      <c r="AR19" s="1"/>
      <c r="AS19" s="20">
        <v>19</v>
      </c>
      <c r="AT19" s="20" t="s">
        <v>678</v>
      </c>
      <c r="AU19" s="21" t="s">
        <v>555</v>
      </c>
      <c r="AV19" s="21" t="s">
        <v>555</v>
      </c>
      <c r="AW19" s="21" t="s">
        <v>692</v>
      </c>
      <c r="AX19" s="21" t="s">
        <v>683</v>
      </c>
      <c r="AY19" s="22" t="s">
        <v>683</v>
      </c>
      <c r="AZ19" s="21" t="s">
        <v>692</v>
      </c>
      <c r="BA19" s="21" t="s">
        <v>695</v>
      </c>
      <c r="BB19" s="21" t="s">
        <v>350</v>
      </c>
      <c r="BC19" s="21" t="s">
        <v>166</v>
      </c>
      <c r="BD19" s="21" t="s">
        <v>555</v>
      </c>
      <c r="BE19" s="21" t="s">
        <v>638</v>
      </c>
      <c r="BF19" s="21" t="s">
        <v>652</v>
      </c>
      <c r="BK19" s="20">
        <f t="shared" ca="1" si="11"/>
        <v>23</v>
      </c>
      <c r="BL19" s="20">
        <f t="shared" ca="1" si="11"/>
        <v>10</v>
      </c>
      <c r="BM19" s="20">
        <f t="shared" ca="1" si="11"/>
        <v>34</v>
      </c>
      <c r="BN19" s="20">
        <f t="shared" ca="1" si="11"/>
        <v>47</v>
      </c>
      <c r="BO19" s="20">
        <f t="shared" ca="1" si="11"/>
        <v>82</v>
      </c>
      <c r="BP19" s="20">
        <f t="shared" ca="1" si="11"/>
        <v>72</v>
      </c>
      <c r="BQ19" s="20">
        <f t="shared" ca="1" si="11"/>
        <v>69</v>
      </c>
      <c r="BR19" s="20">
        <f t="shared" ca="1" si="11"/>
        <v>62</v>
      </c>
      <c r="BS19" s="20">
        <f t="shared" ca="1" si="11"/>
        <v>89</v>
      </c>
      <c r="BT19" s="20">
        <f t="shared" ca="1" si="11"/>
        <v>29</v>
      </c>
      <c r="BU19" s="20">
        <f t="shared" ca="1" si="11"/>
        <v>8</v>
      </c>
      <c r="BV19" s="20">
        <f t="shared" ca="1" si="11"/>
        <v>5</v>
      </c>
      <c r="BX19" s="23"/>
    </row>
    <row r="20" spans="1:76" x14ac:dyDescent="0.3">
      <c r="A20" s="49">
        <v>19</v>
      </c>
      <c r="B20" s="18" t="str">
        <f t="shared" ca="1" si="2"/>
        <v>Two-handed</v>
      </c>
      <c r="C20" s="18" t="str">
        <f t="shared" ca="1" si="3"/>
        <v>+1</v>
      </c>
      <c r="D20" s="18">
        <f t="shared" ca="1" si="4"/>
        <v>0</v>
      </c>
      <c r="E20" s="18" t="str">
        <f t="shared" ca="1" si="5"/>
        <v>Nil</v>
      </c>
      <c r="F20" s="18" t="str">
        <f t="shared" ca="1" si="6"/>
        <v>Nil</v>
      </c>
      <c r="G20" s="18" t="str">
        <f ca="1">IF(AB20&lt;=VLOOKUP(D20,'power prob array'!$A:$M,2), VLOOKUP(Swords!BK20,Swords!$AS:$BB,10), "")</f>
        <v/>
      </c>
      <c r="H20" s="18" t="str">
        <f ca="1">IF(AC20&lt;=VLOOKUP(D20,'power prob array'!$A:$M,3), VLOOKUP(Swords!BL20,Swords!$AS:$BB,10), "")</f>
        <v/>
      </c>
      <c r="I20" s="18" t="str">
        <f ca="1">IF(AD20&lt;=VLOOKUP(D20,'power prob array'!$A:$M,4), VLOOKUP(Swords!BM20,Swords!$AS:$BB,10), "")</f>
        <v/>
      </c>
      <c r="J20" s="18" t="str">
        <f ca="1">IF(AE20&lt;=VLOOKUP(D20,'power prob array'!$A:$M,5), VLOOKUP(Swords!BN20,Swords!$AS:$BB,10), "")</f>
        <v/>
      </c>
      <c r="K20" s="18" t="str">
        <f ca="1">IF(AF20&lt;=VLOOKUP(D20,'power prob array'!$A:$M,6), VLOOKUP(Swords!BO20,Swords!$AS:$BB,10), "")</f>
        <v/>
      </c>
      <c r="L20" s="18" t="str">
        <f ca="1">IF(AG20&lt;=VLOOKUP(D20,'power prob array'!$A:$M,7), VLOOKUP(Swords!BP20,Swords!$AS:$BB,10), "")</f>
        <v/>
      </c>
      <c r="M20" s="18" t="str">
        <f t="shared" ca="1" si="7"/>
        <v>No</v>
      </c>
      <c r="N20" s="18" t="str">
        <f ca="1">IF(AI20&lt;=VLOOKUP(D20,'power prob array'!$A:$M,8), VLOOKUP(Swords!BQ20,Swords!$AS:$BC,11), "")</f>
        <v/>
      </c>
      <c r="O20" s="18" t="str">
        <f ca="1">IF(AJ20&lt;=VLOOKUP(D20,'power prob array'!$A:$M,9), VLOOKUP(Swords!BR20,Swords!$AS:$BC,11), "")</f>
        <v/>
      </c>
      <c r="P20" s="18" t="str">
        <f ca="1">IF(AK20&lt;=VLOOKUP(D20,'power prob array'!$A:$M,10), VLOOKUP(Swords!BS20,Swords!$AS:$BC,11), "")</f>
        <v/>
      </c>
      <c r="Q20" s="18" t="str">
        <f ca="1">IF(AL20&lt;=VLOOKUP(D20,'power prob array'!$A:$M,11), VLOOKUP(Swords!BT20,Swords!$AS:$BC,11), "")</f>
        <v/>
      </c>
      <c r="R20" s="18" t="str">
        <f ca="1">IF(AM20&lt;=VLOOKUP(D20,'power prob array'!$A:$M,12), VLOOKUP(Swords!BU20,Swords!$AS:$BC,11), "")</f>
        <v/>
      </c>
      <c r="S20" s="18" t="str">
        <f ca="1">IF(AN20&lt;=VLOOKUP(D20,'power prob array'!$A:$M,13), VLOOKUP(Swords!BV20,Swords!$AS:$BC,11), "")</f>
        <v/>
      </c>
      <c r="T20" s="18" t="str">
        <f t="shared" ca="1" si="8"/>
        <v>No</v>
      </c>
      <c r="U20" s="18" t="str" cm="1">
        <f t="array" aca="1" ref="U20" ca="1">_xlfn.IFS(T20="Talent", VLOOKUP(AP20,$AS:$BF,14), T20="No", "", 1=1, VLOOKUP(AP20,$AS:$BF,13))</f>
        <v/>
      </c>
      <c r="V20" s="1"/>
      <c r="W20" s="1"/>
      <c r="X20" s="1">
        <f t="shared" ca="1" si="10"/>
        <v>85</v>
      </c>
      <c r="Y20" s="1">
        <f t="shared" ca="1" si="10"/>
        <v>64</v>
      </c>
      <c r="Z20" s="1">
        <f t="shared" ca="1" si="10"/>
        <v>63</v>
      </c>
      <c r="AA20" s="1">
        <f t="shared" ca="1" si="10"/>
        <v>50</v>
      </c>
      <c r="AB20" s="1">
        <f t="shared" ca="1" si="10"/>
        <v>19</v>
      </c>
      <c r="AC20" s="1">
        <f t="shared" ca="1" si="10"/>
        <v>30</v>
      </c>
      <c r="AD20" s="1">
        <f t="shared" ca="1" si="10"/>
        <v>46</v>
      </c>
      <c r="AE20" s="1">
        <f t="shared" ca="1" si="10"/>
        <v>9</v>
      </c>
      <c r="AF20" s="1">
        <f t="shared" ca="1" si="10"/>
        <v>22</v>
      </c>
      <c r="AG20" s="1">
        <f t="shared" ca="1" si="10"/>
        <v>33</v>
      </c>
      <c r="AH20" s="1"/>
      <c r="AI20" s="1">
        <f t="shared" ca="1" si="10"/>
        <v>4</v>
      </c>
      <c r="AJ20" s="1">
        <f t="shared" ca="1" si="10"/>
        <v>18</v>
      </c>
      <c r="AK20" s="1">
        <f t="shared" ca="1" si="10"/>
        <v>68</v>
      </c>
      <c r="AL20" s="1">
        <f t="shared" ca="1" si="10"/>
        <v>88</v>
      </c>
      <c r="AM20" s="1">
        <f t="shared" ca="1" si="10"/>
        <v>49</v>
      </c>
      <c r="AN20" s="1">
        <f t="shared" ca="1" si="9"/>
        <v>94</v>
      </c>
      <c r="AO20" s="1">
        <f t="shared" ca="1" si="9"/>
        <v>47</v>
      </c>
      <c r="AP20" s="1">
        <f t="shared" ca="1" si="9"/>
        <v>52</v>
      </c>
      <c r="AQ20" s="1"/>
      <c r="AR20" s="1"/>
      <c r="AS20">
        <v>20</v>
      </c>
      <c r="AT20" t="s">
        <v>678</v>
      </c>
      <c r="AU20" s="9" t="s">
        <v>555</v>
      </c>
      <c r="AV20" s="9" t="s">
        <v>555</v>
      </c>
      <c r="AW20" s="9" t="s">
        <v>692</v>
      </c>
      <c r="AX20" s="9" t="s">
        <v>683</v>
      </c>
      <c r="AY20" s="16" t="s">
        <v>683</v>
      </c>
      <c r="AZ20" s="9" t="s">
        <v>692</v>
      </c>
      <c r="BA20" s="9" t="s">
        <v>695</v>
      </c>
      <c r="BB20" s="9" t="s">
        <v>350</v>
      </c>
      <c r="BC20" s="9" t="s">
        <v>166</v>
      </c>
      <c r="BD20" s="9" t="s">
        <v>555</v>
      </c>
      <c r="BE20" s="9" t="s">
        <v>638</v>
      </c>
      <c r="BF20" s="9" t="s">
        <v>652</v>
      </c>
      <c r="BK20">
        <f t="shared" ca="1" si="11"/>
        <v>79</v>
      </c>
      <c r="BL20">
        <f t="shared" ca="1" si="11"/>
        <v>33</v>
      </c>
      <c r="BM20">
        <f t="shared" ca="1" si="11"/>
        <v>3</v>
      </c>
      <c r="BN20">
        <f t="shared" ca="1" si="11"/>
        <v>2</v>
      </c>
      <c r="BO20">
        <f t="shared" ca="1" si="11"/>
        <v>20</v>
      </c>
      <c r="BP20">
        <f t="shared" ca="1" si="11"/>
        <v>25</v>
      </c>
      <c r="BQ20">
        <f t="shared" ca="1" si="11"/>
        <v>85</v>
      </c>
      <c r="BR20">
        <f t="shared" ca="1" si="11"/>
        <v>100</v>
      </c>
      <c r="BS20">
        <f t="shared" ca="1" si="11"/>
        <v>33</v>
      </c>
      <c r="BT20">
        <f t="shared" ca="1" si="11"/>
        <v>4</v>
      </c>
      <c r="BU20">
        <f t="shared" ca="1" si="11"/>
        <v>1</v>
      </c>
      <c r="BV20">
        <f t="shared" ca="1" si="11"/>
        <v>58</v>
      </c>
    </row>
    <row r="21" spans="1:76" s="20" customFormat="1" x14ac:dyDescent="0.3">
      <c r="A21" s="49">
        <v>20</v>
      </c>
      <c r="B21" s="19" t="str">
        <f t="shared" ca="1" si="2"/>
        <v>Normal</v>
      </c>
      <c r="C21" s="19" t="str">
        <f t="shared" ca="1" si="3"/>
        <v>+1</v>
      </c>
      <c r="D21" s="19">
        <f t="shared" ca="1" si="4"/>
        <v>0</v>
      </c>
      <c r="E21" s="19" t="str">
        <f t="shared" ca="1" si="5"/>
        <v>Nil</v>
      </c>
      <c r="F21" s="19" t="str">
        <f t="shared" ca="1" si="6"/>
        <v>Nil</v>
      </c>
      <c r="G21" s="19" t="str">
        <f ca="1">IF(AB21&lt;=VLOOKUP(D21,'power prob array'!$A:$M,2), VLOOKUP(Swords!BK21,Swords!$AS:$BB,10), "")</f>
        <v/>
      </c>
      <c r="H21" s="19" t="str">
        <f ca="1">IF(AC21&lt;=VLOOKUP(D21,'power prob array'!$A:$M,3), VLOOKUP(Swords!BL21,Swords!$AS:$BB,10), "")</f>
        <v/>
      </c>
      <c r="I21" s="19" t="str">
        <f ca="1">IF(AD21&lt;=VLOOKUP(D21,'power prob array'!$A:$M,4), VLOOKUP(Swords!BM21,Swords!$AS:$BB,10), "")</f>
        <v/>
      </c>
      <c r="J21" s="19" t="str">
        <f ca="1">IF(AE21&lt;=VLOOKUP(D21,'power prob array'!$A:$M,5), VLOOKUP(Swords!BN21,Swords!$AS:$BB,10), "")</f>
        <v/>
      </c>
      <c r="K21" s="19" t="str">
        <f ca="1">IF(AF21&lt;=VLOOKUP(D21,'power prob array'!$A:$M,6), VLOOKUP(Swords!BO21,Swords!$AS:$BB,10), "")</f>
        <v/>
      </c>
      <c r="L21" s="19" t="str">
        <f ca="1">IF(AG21&lt;=VLOOKUP(D21,'power prob array'!$A:$M,7), VLOOKUP(Swords!BP21,Swords!$AS:$BB,10), "")</f>
        <v/>
      </c>
      <c r="M21" s="19" t="str">
        <f t="shared" ca="1" si="7"/>
        <v>No</v>
      </c>
      <c r="N21" s="19" t="str">
        <f ca="1">IF(AI21&lt;=VLOOKUP(D21,'power prob array'!$A:$M,8), VLOOKUP(Swords!BQ21,Swords!$AS:$BC,11), "")</f>
        <v/>
      </c>
      <c r="O21" s="19" t="str">
        <f ca="1">IF(AJ21&lt;=VLOOKUP(D21,'power prob array'!$A:$M,9), VLOOKUP(Swords!BR21,Swords!$AS:$BC,11), "")</f>
        <v/>
      </c>
      <c r="P21" s="19" t="str">
        <f ca="1">IF(AK21&lt;=VLOOKUP(D21,'power prob array'!$A:$M,10), VLOOKUP(Swords!BS21,Swords!$AS:$BC,11), "")</f>
        <v/>
      </c>
      <c r="Q21" s="19" t="str">
        <f ca="1">IF(AL21&lt;=VLOOKUP(D21,'power prob array'!$A:$M,11), VLOOKUP(Swords!BT21,Swords!$AS:$BC,11), "")</f>
        <v/>
      </c>
      <c r="R21" s="19" t="str">
        <f ca="1">IF(AM21&lt;=VLOOKUP(D21,'power prob array'!$A:$M,12), VLOOKUP(Swords!BU21,Swords!$AS:$BC,11), "")</f>
        <v/>
      </c>
      <c r="S21" s="19" t="str">
        <f ca="1">IF(AN21&lt;=VLOOKUP(D21,'power prob array'!$A:$M,13), VLOOKUP(Swords!BV21,Swords!$AS:$BC,11), "")</f>
        <v/>
      </c>
      <c r="T21" s="18" t="str">
        <f t="shared" ca="1" si="8"/>
        <v>No</v>
      </c>
      <c r="U21" s="18" t="str" cm="1">
        <f t="array" aca="1" ref="U21" ca="1">_xlfn.IFS(T21="Talent", VLOOKUP(AP21,$AS:$BF,14), T21="No", "", 1=1, VLOOKUP(AP21,$AS:$BF,13))</f>
        <v/>
      </c>
      <c r="V21" s="1"/>
      <c r="W21" s="1"/>
      <c r="X21" s="1">
        <f t="shared" ca="1" si="10"/>
        <v>56</v>
      </c>
      <c r="Y21" s="1">
        <f t="shared" ca="1" si="10"/>
        <v>39</v>
      </c>
      <c r="Z21" s="1">
        <f t="shared" ca="1" si="10"/>
        <v>90</v>
      </c>
      <c r="AA21" s="1">
        <f t="shared" ca="1" si="10"/>
        <v>51</v>
      </c>
      <c r="AB21" s="1">
        <f t="shared" ca="1" si="10"/>
        <v>67</v>
      </c>
      <c r="AC21" s="1">
        <f t="shared" ca="1" si="10"/>
        <v>6</v>
      </c>
      <c r="AD21" s="1">
        <f t="shared" ca="1" si="10"/>
        <v>52</v>
      </c>
      <c r="AE21" s="1">
        <f t="shared" ca="1" si="10"/>
        <v>93</v>
      </c>
      <c r="AF21" s="1">
        <f t="shared" ca="1" si="10"/>
        <v>72</v>
      </c>
      <c r="AG21" s="1">
        <f t="shared" ca="1" si="10"/>
        <v>45</v>
      </c>
      <c r="AH21" s="1"/>
      <c r="AI21" s="1">
        <f t="shared" ca="1" si="10"/>
        <v>78</v>
      </c>
      <c r="AJ21" s="1">
        <f t="shared" ca="1" si="10"/>
        <v>31</v>
      </c>
      <c r="AK21" s="1">
        <f t="shared" ca="1" si="10"/>
        <v>48</v>
      </c>
      <c r="AL21" s="1">
        <f t="shared" ca="1" si="10"/>
        <v>98</v>
      </c>
      <c r="AM21" s="1">
        <f t="shared" ca="1" si="10"/>
        <v>30</v>
      </c>
      <c r="AN21" s="1">
        <f t="shared" ca="1" si="9"/>
        <v>27</v>
      </c>
      <c r="AO21" s="1">
        <f t="shared" ca="1" si="9"/>
        <v>46</v>
      </c>
      <c r="AP21" s="1">
        <f t="shared" ca="1" si="9"/>
        <v>72</v>
      </c>
      <c r="AQ21" s="1"/>
      <c r="AR21" s="1"/>
      <c r="AS21" s="20">
        <v>21</v>
      </c>
      <c r="AT21" s="20" t="s">
        <v>678</v>
      </c>
      <c r="AU21" s="21" t="s">
        <v>555</v>
      </c>
      <c r="AV21" s="21" t="s">
        <v>555</v>
      </c>
      <c r="AW21" s="21" t="s">
        <v>692</v>
      </c>
      <c r="AX21" s="21" t="s">
        <v>683</v>
      </c>
      <c r="AY21" s="22" t="s">
        <v>683</v>
      </c>
      <c r="AZ21" s="21" t="s">
        <v>692</v>
      </c>
      <c r="BA21" s="21" t="s">
        <v>695</v>
      </c>
      <c r="BB21" s="21" t="s">
        <v>350</v>
      </c>
      <c r="BC21" s="21" t="s">
        <v>175</v>
      </c>
      <c r="BD21" s="21" t="s">
        <v>555</v>
      </c>
      <c r="BE21" s="21" t="s">
        <v>638</v>
      </c>
      <c r="BF21" s="21" t="s">
        <v>652</v>
      </c>
      <c r="BK21" s="20">
        <f t="shared" ca="1" si="11"/>
        <v>25</v>
      </c>
      <c r="BL21" s="20">
        <f t="shared" ca="1" si="11"/>
        <v>88</v>
      </c>
      <c r="BM21" s="20">
        <f t="shared" ca="1" si="11"/>
        <v>19</v>
      </c>
      <c r="BN21" s="20">
        <f t="shared" ca="1" si="11"/>
        <v>31</v>
      </c>
      <c r="BO21" s="20">
        <f t="shared" ca="1" si="11"/>
        <v>92</v>
      </c>
      <c r="BP21" s="20">
        <f t="shared" ca="1" si="11"/>
        <v>76</v>
      </c>
      <c r="BQ21" s="20">
        <f t="shared" ca="1" si="11"/>
        <v>19</v>
      </c>
      <c r="BR21" s="20">
        <f t="shared" ca="1" si="11"/>
        <v>28</v>
      </c>
      <c r="BS21" s="20">
        <f t="shared" ca="1" si="11"/>
        <v>65</v>
      </c>
      <c r="BT21" s="20">
        <f t="shared" ca="1" si="11"/>
        <v>54</v>
      </c>
      <c r="BU21" s="20">
        <f t="shared" ca="1" si="11"/>
        <v>39</v>
      </c>
      <c r="BV21" s="20">
        <f t="shared" ca="1" si="11"/>
        <v>94</v>
      </c>
      <c r="BX21" s="23"/>
    </row>
    <row r="22" spans="1:76" x14ac:dyDescent="0.3">
      <c r="A22" s="49">
        <v>21</v>
      </c>
      <c r="B22" s="18" t="str">
        <f t="shared" ca="1" si="2"/>
        <v>Normal</v>
      </c>
      <c r="C22" s="18" t="str">
        <f t="shared" ca="1" si="3"/>
        <v>+1</v>
      </c>
      <c r="D22" s="18">
        <f t="shared" ca="1" si="4"/>
        <v>11</v>
      </c>
      <c r="E22" s="18" t="str">
        <f t="shared" ca="1" si="5"/>
        <v>Speech</v>
      </c>
      <c r="F22" s="18">
        <f t="shared" ca="1" si="6"/>
        <v>6</v>
      </c>
      <c r="G22" s="18" t="str">
        <f ca="1">IF(AB22&lt;=VLOOKUP(D22,'power prob array'!$A:$M,2), VLOOKUP(Swords!BK22,Swords!$AS:$BB,10), "")</f>
        <v>Detect Gems</v>
      </c>
      <c r="H22" s="18" t="str">
        <f ca="1">IF(AC22&lt;=VLOOKUP(D22,'power prob array'!$A:$M,3), VLOOKUP(Swords!BL22,Swords!$AS:$BB,10), "")</f>
        <v>Detect Metal</v>
      </c>
      <c r="I22" s="18" t="str">
        <f ca="1">IF(AD22&lt;=VLOOKUP(D22,'power prob array'!$A:$M,4), VLOOKUP(Swords!BM22,Swords!$AS:$BB,10), "")</f>
        <v>Detect Metal</v>
      </c>
      <c r="J22" s="18" t="str">
        <f ca="1">IF(AE22&lt;=VLOOKUP(D22,'power prob array'!$A:$M,5), VLOOKUP(Swords!BN22,Swords!$AS:$BB,10), "")</f>
        <v>Find Secret Doors</v>
      </c>
      <c r="K22" s="18" t="str">
        <f ca="1">IF(AF22&lt;=VLOOKUP(D22,'power prob array'!$A:$M,6), VLOOKUP(Swords!BO22,Swords!$AS:$BB,10), "")</f>
        <v/>
      </c>
      <c r="L22" s="18" t="str">
        <f ca="1">IF(AG22&lt;=VLOOKUP(D22,'power prob array'!$A:$M,7), VLOOKUP(Swords!BP22,Swords!$AS:$BB,10), "")</f>
        <v/>
      </c>
      <c r="M22" s="18" t="str">
        <f t="shared" ca="1" si="7"/>
        <v>Yes</v>
      </c>
      <c r="N22" s="18" t="str">
        <f ca="1">IF(AI22&lt;=VLOOKUP(D22,'power prob array'!$A:$M,8), VLOOKUP(Swords!BQ22,Swords!$AS:$BC,11), "")</f>
        <v/>
      </c>
      <c r="O22" s="18" t="str">
        <f ca="1">IF(AJ22&lt;=VLOOKUP(D22,'power prob array'!$A:$M,9), VLOOKUP(Swords!BR22,Swords!$AS:$BC,11), "")</f>
        <v/>
      </c>
      <c r="P22" s="18" t="str">
        <f ca="1">IF(AK22&lt;=VLOOKUP(D22,'power prob array'!$A:$M,10), VLOOKUP(Swords!BS22,Swords!$AS:$BC,11), "")</f>
        <v/>
      </c>
      <c r="Q22" s="18" t="str">
        <f ca="1">IF(AL22&lt;=VLOOKUP(D22,'power prob array'!$A:$M,11), VLOOKUP(Swords!BT22,Swords!$AS:$BC,11), "")</f>
        <v/>
      </c>
      <c r="R22" s="18" t="str">
        <f ca="1">IF(AM22&lt;=VLOOKUP(D22,'power prob array'!$A:$M,12), VLOOKUP(Swords!BU22,Swords!$AS:$BC,11), "")</f>
        <v/>
      </c>
      <c r="S22" s="18" t="str">
        <f ca="1">IF(AN22&lt;=VLOOKUP(D22,'power prob array'!$A:$M,13), VLOOKUP(Swords!BV22,Swords!$AS:$BC,11), "")</f>
        <v/>
      </c>
      <c r="T22" s="18" t="str">
        <f t="shared" ca="1" si="8"/>
        <v>No</v>
      </c>
      <c r="U22" s="18" t="str" cm="1">
        <f t="array" aca="1" ref="U22" ca="1">_xlfn.IFS(T22="Talent", VLOOKUP(AP22,$AS:$BF,14), T22="No", "", 1=1, VLOOKUP(AP22,$AS:$BF,13))</f>
        <v/>
      </c>
      <c r="V22" s="1"/>
      <c r="W22" s="1"/>
      <c r="X22" s="1">
        <f t="shared" ca="1" si="10"/>
        <v>18</v>
      </c>
      <c r="Y22" s="1">
        <f t="shared" ca="1" si="10"/>
        <v>68</v>
      </c>
      <c r="Z22" s="1">
        <f t="shared" ca="1" si="10"/>
        <v>51</v>
      </c>
      <c r="AA22" s="1">
        <f t="shared" ca="1" si="10"/>
        <v>98</v>
      </c>
      <c r="AB22" s="1">
        <f t="shared" ca="1" si="10"/>
        <v>70</v>
      </c>
      <c r="AC22" s="1">
        <f t="shared" ca="1" si="10"/>
        <v>67</v>
      </c>
      <c r="AD22" s="1">
        <f t="shared" ca="1" si="10"/>
        <v>66</v>
      </c>
      <c r="AE22" s="1">
        <f t="shared" ca="1" si="10"/>
        <v>2</v>
      </c>
      <c r="AF22" s="1">
        <f t="shared" ca="1" si="10"/>
        <v>70</v>
      </c>
      <c r="AG22" s="1">
        <f t="shared" ca="1" si="10"/>
        <v>14</v>
      </c>
      <c r="AH22" s="1"/>
      <c r="AI22" s="1">
        <f t="shared" ca="1" si="10"/>
        <v>86</v>
      </c>
      <c r="AJ22" s="1">
        <f t="shared" ca="1" si="10"/>
        <v>26</v>
      </c>
      <c r="AK22" s="1">
        <f t="shared" ca="1" si="10"/>
        <v>14</v>
      </c>
      <c r="AL22" s="1">
        <f t="shared" ca="1" si="10"/>
        <v>83</v>
      </c>
      <c r="AM22" s="1">
        <f t="shared" ca="1" si="10"/>
        <v>68</v>
      </c>
      <c r="AN22" s="1">
        <f t="shared" ca="1" si="9"/>
        <v>7</v>
      </c>
      <c r="AO22" s="1">
        <f t="shared" ca="1" si="9"/>
        <v>93</v>
      </c>
      <c r="AP22" s="1">
        <f t="shared" ca="1" si="9"/>
        <v>70</v>
      </c>
      <c r="AQ22" s="1"/>
      <c r="AR22" s="1"/>
      <c r="AS22">
        <v>22</v>
      </c>
      <c r="AT22" t="s">
        <v>678</v>
      </c>
      <c r="AU22" s="9" t="s">
        <v>555</v>
      </c>
      <c r="AV22" s="9" t="s">
        <v>555</v>
      </c>
      <c r="AW22" s="9" t="s">
        <v>692</v>
      </c>
      <c r="AX22" s="9" t="s">
        <v>683</v>
      </c>
      <c r="AY22" s="16" t="s">
        <v>683</v>
      </c>
      <c r="AZ22" s="9" t="s">
        <v>692</v>
      </c>
      <c r="BA22" s="9" t="s">
        <v>695</v>
      </c>
      <c r="BB22" s="9" t="s">
        <v>350</v>
      </c>
      <c r="BC22" s="9" t="s">
        <v>175</v>
      </c>
      <c r="BD22" s="9" t="s">
        <v>555</v>
      </c>
      <c r="BE22" s="9" t="s">
        <v>638</v>
      </c>
      <c r="BF22" s="9" t="s">
        <v>652</v>
      </c>
      <c r="BK22">
        <f t="shared" ca="1" si="11"/>
        <v>11</v>
      </c>
      <c r="BL22">
        <f t="shared" ca="1" si="11"/>
        <v>35</v>
      </c>
      <c r="BM22">
        <f t="shared" ca="1" si="11"/>
        <v>26</v>
      </c>
      <c r="BN22">
        <f t="shared" ca="1" si="11"/>
        <v>67</v>
      </c>
      <c r="BO22">
        <f t="shared" ca="1" si="11"/>
        <v>84</v>
      </c>
      <c r="BP22">
        <f t="shared" ca="1" si="11"/>
        <v>95</v>
      </c>
      <c r="BQ22">
        <f t="shared" ca="1" si="11"/>
        <v>18</v>
      </c>
      <c r="BR22">
        <f t="shared" ca="1" si="11"/>
        <v>31</v>
      </c>
      <c r="BS22">
        <f t="shared" ca="1" si="11"/>
        <v>6</v>
      </c>
      <c r="BT22">
        <f t="shared" ca="1" si="11"/>
        <v>22</v>
      </c>
      <c r="BU22">
        <f t="shared" ca="1" si="11"/>
        <v>5</v>
      </c>
      <c r="BV22">
        <f t="shared" ca="1" si="11"/>
        <v>63</v>
      </c>
    </row>
    <row r="23" spans="1:76" s="20" customFormat="1" x14ac:dyDescent="0.3">
      <c r="A23" s="49">
        <v>22</v>
      </c>
      <c r="B23" s="19" t="str">
        <f t="shared" ca="1" si="2"/>
        <v>Normal</v>
      </c>
      <c r="C23" s="19" t="str">
        <f t="shared" ca="1" si="3"/>
        <v>+1</v>
      </c>
      <c r="D23" s="19">
        <f t="shared" ca="1" si="4"/>
        <v>12</v>
      </c>
      <c r="E23" s="19" t="str">
        <f t="shared" ca="1" si="5"/>
        <v>Speech</v>
      </c>
      <c r="F23" s="19">
        <f t="shared" ca="1" si="6"/>
        <v>2</v>
      </c>
      <c r="G23" s="19" t="str">
        <f ca="1">IF(AB23&lt;=VLOOKUP(D23,'power prob array'!$A:$M,2), VLOOKUP(Swords!BK23,Swords!$AS:$BB,10), "")</f>
        <v>Find Traps</v>
      </c>
      <c r="H23" s="19" t="str">
        <f ca="1">IF(AC23&lt;=VLOOKUP(D23,'power prob array'!$A:$M,3), VLOOKUP(Swords!BL23,Swords!$AS:$BB,10), "")</f>
        <v>Detect Evil (Good)</v>
      </c>
      <c r="I23" s="19" t="str">
        <f ca="1">IF(AD23&lt;=VLOOKUP(D23,'power prob array'!$A:$M,4), VLOOKUP(Swords!BM23,Swords!$AS:$BB,10), "")</f>
        <v>Detect Metal</v>
      </c>
      <c r="J23" s="19" t="str">
        <f ca="1">IF(AE23&lt;=VLOOKUP(D23,'power prob array'!$A:$M,5), VLOOKUP(Swords!BN23,Swords!$AS:$BB,10), "")</f>
        <v/>
      </c>
      <c r="K23" s="19" t="str">
        <f ca="1">IF(AF23&lt;=VLOOKUP(D23,'power prob array'!$A:$M,6), VLOOKUP(Swords!BO23,Swords!$AS:$BB,10), "")</f>
        <v/>
      </c>
      <c r="L23" s="19" t="str">
        <f ca="1">IF(AG23&lt;=VLOOKUP(D23,'power prob array'!$A:$M,7), VLOOKUP(Swords!BP23,Swords!$AS:$BB,10), "")</f>
        <v/>
      </c>
      <c r="M23" s="19" t="str">
        <f t="shared" ca="1" si="7"/>
        <v>Yes</v>
      </c>
      <c r="N23" s="19" t="str">
        <f ca="1">IF(AI23&lt;=VLOOKUP(D23,'power prob array'!$A:$M,8), VLOOKUP(Swords!BQ23,Swords!$AS:$BC,11), "")</f>
        <v>Telekinesis</v>
      </c>
      <c r="O23" s="19" t="str">
        <f ca="1">IF(AJ23&lt;=VLOOKUP(D23,'power prob array'!$A:$M,9), VLOOKUP(Swords!BR23,Swords!$AS:$BC,11), "")</f>
        <v/>
      </c>
      <c r="P23" s="19" t="str">
        <f ca="1">IF(AK23&lt;=VLOOKUP(D23,'power prob array'!$A:$M,10), VLOOKUP(Swords!BS23,Swords!$AS:$BC,11), "")</f>
        <v/>
      </c>
      <c r="Q23" s="19" t="str">
        <f ca="1">IF(AL23&lt;=VLOOKUP(D23,'power prob array'!$A:$M,11), VLOOKUP(Swords!BT23,Swords!$AS:$BC,11), "")</f>
        <v/>
      </c>
      <c r="R23" s="19" t="str">
        <f ca="1">IF(AM23&lt;=VLOOKUP(D23,'power prob array'!$A:$M,12), VLOOKUP(Swords!BU23,Swords!$AS:$BC,11), "")</f>
        <v/>
      </c>
      <c r="S23" s="19" t="str">
        <f ca="1">IF(AN23&lt;=VLOOKUP(D23,'power prob array'!$A:$M,13), VLOOKUP(Swords!BV23,Swords!$AS:$BC,11), "")</f>
        <v/>
      </c>
      <c r="T23" s="18" t="str">
        <f t="shared" ca="1" si="8"/>
        <v>Talent</v>
      </c>
      <c r="U23" s="18" t="str" cm="1">
        <f t="array" aca="1" ref="U23" ca="1">_xlfn.IFS(T23="Talent", VLOOKUP(AP23,$AS:$BF,14), T23="No", "", 1=1, VLOOKUP(AP23,$AS:$BF,13))</f>
        <v>Slowing</v>
      </c>
      <c r="V23" s="1"/>
      <c r="W23" s="1"/>
      <c r="X23" s="1">
        <f t="shared" ca="1" si="10"/>
        <v>40</v>
      </c>
      <c r="Y23" s="1">
        <f t="shared" ca="1" si="10"/>
        <v>20</v>
      </c>
      <c r="Z23" s="1">
        <f t="shared" ca="1" si="10"/>
        <v>6</v>
      </c>
      <c r="AA23" s="1">
        <f t="shared" ca="1" si="10"/>
        <v>100</v>
      </c>
      <c r="AB23" s="1">
        <f t="shared" ca="1" si="10"/>
        <v>23</v>
      </c>
      <c r="AC23" s="1">
        <f t="shared" ca="1" si="10"/>
        <v>63</v>
      </c>
      <c r="AD23" s="1">
        <f t="shared" ca="1" si="10"/>
        <v>48</v>
      </c>
      <c r="AE23" s="1">
        <f t="shared" ca="1" si="10"/>
        <v>79</v>
      </c>
      <c r="AF23" s="1">
        <f t="shared" ca="1" si="10"/>
        <v>58</v>
      </c>
      <c r="AG23" s="1">
        <f t="shared" ca="1" si="10"/>
        <v>65</v>
      </c>
      <c r="AH23" s="1"/>
      <c r="AI23" s="1">
        <f t="shared" ca="1" si="10"/>
        <v>41</v>
      </c>
      <c r="AJ23" s="1">
        <f t="shared" ca="1" si="10"/>
        <v>16</v>
      </c>
      <c r="AK23" s="1">
        <f t="shared" ca="1" si="10"/>
        <v>69</v>
      </c>
      <c r="AL23" s="1">
        <f t="shared" ca="1" si="10"/>
        <v>49</v>
      </c>
      <c r="AM23" s="1">
        <f t="shared" ca="1" si="10"/>
        <v>38</v>
      </c>
      <c r="AN23" s="1">
        <f t="shared" ca="1" si="9"/>
        <v>39</v>
      </c>
      <c r="AO23" s="1">
        <f t="shared" ca="1" si="9"/>
        <v>25</v>
      </c>
      <c r="AP23" s="1">
        <f t="shared" ca="1" si="9"/>
        <v>85</v>
      </c>
      <c r="AQ23" s="1"/>
      <c r="AR23" s="1"/>
      <c r="AS23" s="20">
        <v>23</v>
      </c>
      <c r="AT23" s="20" t="s">
        <v>678</v>
      </c>
      <c r="AU23" s="21" t="s">
        <v>555</v>
      </c>
      <c r="AV23" s="21" t="s">
        <v>555</v>
      </c>
      <c r="AW23" s="21" t="s">
        <v>692</v>
      </c>
      <c r="AX23" s="21" t="s">
        <v>683</v>
      </c>
      <c r="AY23" s="22" t="s">
        <v>683</v>
      </c>
      <c r="AZ23" s="21" t="s">
        <v>692</v>
      </c>
      <c r="BA23" s="21" t="s">
        <v>695</v>
      </c>
      <c r="BB23" s="21" t="s">
        <v>350</v>
      </c>
      <c r="BC23" s="21" t="s">
        <v>175</v>
      </c>
      <c r="BD23" s="21" t="s">
        <v>555</v>
      </c>
      <c r="BE23" s="21" t="s">
        <v>638</v>
      </c>
      <c r="BF23" s="21" t="s">
        <v>652</v>
      </c>
      <c r="BK23" s="20">
        <f t="shared" ca="1" si="11"/>
        <v>84</v>
      </c>
      <c r="BL23" s="20">
        <f t="shared" ca="1" si="11"/>
        <v>7</v>
      </c>
      <c r="BM23" s="20">
        <f t="shared" ca="1" si="11"/>
        <v>33</v>
      </c>
      <c r="BN23" s="20">
        <f t="shared" ca="1" si="11"/>
        <v>3</v>
      </c>
      <c r="BO23" s="20">
        <f t="shared" ca="1" si="11"/>
        <v>70</v>
      </c>
      <c r="BP23" s="20">
        <f t="shared" ca="1" si="11"/>
        <v>88</v>
      </c>
      <c r="BQ23" s="20">
        <f t="shared" ca="1" si="11"/>
        <v>64</v>
      </c>
      <c r="BR23" s="20">
        <f t="shared" ca="1" si="11"/>
        <v>34</v>
      </c>
      <c r="BS23" s="20">
        <f t="shared" ca="1" si="11"/>
        <v>70</v>
      </c>
      <c r="BT23" s="20">
        <f t="shared" ca="1" si="11"/>
        <v>46</v>
      </c>
      <c r="BU23" s="20">
        <f t="shared" ca="1" si="11"/>
        <v>25</v>
      </c>
      <c r="BV23" s="20">
        <f t="shared" ca="1" si="11"/>
        <v>67</v>
      </c>
      <c r="BX23" s="23"/>
    </row>
    <row r="24" spans="1:76" x14ac:dyDescent="0.3">
      <c r="A24" s="49">
        <v>23</v>
      </c>
      <c r="B24" s="18" t="str">
        <f t="shared" ca="1" si="2"/>
        <v>Normal</v>
      </c>
      <c r="C24" s="18" t="str">
        <f t="shared" ca="1" si="3"/>
        <v>+3</v>
      </c>
      <c r="D24" s="18">
        <f t="shared" ca="1" si="4"/>
        <v>0</v>
      </c>
      <c r="E24" s="18" t="str">
        <f t="shared" ca="1" si="5"/>
        <v>Nil</v>
      </c>
      <c r="F24" s="18" t="str">
        <f t="shared" ca="1" si="6"/>
        <v>Nil</v>
      </c>
      <c r="G24" s="18" t="str">
        <f ca="1">IF(AB24&lt;=VLOOKUP(D24,'power prob array'!$A:$M,2), VLOOKUP(Swords!BK24,Swords!$AS:$BB,10), "")</f>
        <v/>
      </c>
      <c r="H24" s="18" t="str">
        <f ca="1">IF(AC24&lt;=VLOOKUP(D24,'power prob array'!$A:$M,3), VLOOKUP(Swords!BL24,Swords!$AS:$BB,10), "")</f>
        <v/>
      </c>
      <c r="I24" s="18" t="str">
        <f ca="1">IF(AD24&lt;=VLOOKUP(D24,'power prob array'!$A:$M,4), VLOOKUP(Swords!BM24,Swords!$AS:$BB,10), "")</f>
        <v/>
      </c>
      <c r="J24" s="18" t="str">
        <f ca="1">IF(AE24&lt;=VLOOKUP(D24,'power prob array'!$A:$M,5), VLOOKUP(Swords!BN24,Swords!$AS:$BB,10), "")</f>
        <v/>
      </c>
      <c r="K24" s="18" t="str">
        <f ca="1">IF(AF24&lt;=VLOOKUP(D24,'power prob array'!$A:$M,6), VLOOKUP(Swords!BO24,Swords!$AS:$BB,10), "")</f>
        <v/>
      </c>
      <c r="L24" s="18" t="str">
        <f ca="1">IF(AG24&lt;=VLOOKUP(D24,'power prob array'!$A:$M,7), VLOOKUP(Swords!BP24,Swords!$AS:$BB,10), "")</f>
        <v/>
      </c>
      <c r="M24" s="18" t="str">
        <f t="shared" ca="1" si="7"/>
        <v>No</v>
      </c>
      <c r="N24" s="18" t="str">
        <f ca="1">IF(AI24&lt;=VLOOKUP(D24,'power prob array'!$A:$M,8), VLOOKUP(Swords!BQ24,Swords!$AS:$BC,11), "")</f>
        <v/>
      </c>
      <c r="O24" s="18" t="str">
        <f ca="1">IF(AJ24&lt;=VLOOKUP(D24,'power prob array'!$A:$M,9), VLOOKUP(Swords!BR24,Swords!$AS:$BC,11), "")</f>
        <v/>
      </c>
      <c r="P24" s="18" t="str">
        <f ca="1">IF(AK24&lt;=VLOOKUP(D24,'power prob array'!$A:$M,10), VLOOKUP(Swords!BS24,Swords!$AS:$BC,11), "")</f>
        <v/>
      </c>
      <c r="Q24" s="18" t="str">
        <f ca="1">IF(AL24&lt;=VLOOKUP(D24,'power prob array'!$A:$M,11), VLOOKUP(Swords!BT24,Swords!$AS:$BC,11), "")</f>
        <v/>
      </c>
      <c r="R24" s="18" t="str">
        <f ca="1">IF(AM24&lt;=VLOOKUP(D24,'power prob array'!$A:$M,12), VLOOKUP(Swords!BU24,Swords!$AS:$BC,11), "")</f>
        <v/>
      </c>
      <c r="S24" s="18" t="str">
        <f ca="1">IF(AN24&lt;=VLOOKUP(D24,'power prob array'!$A:$M,13), VLOOKUP(Swords!BV24,Swords!$AS:$BC,11), "")</f>
        <v/>
      </c>
      <c r="T24" s="18" t="str">
        <f t="shared" ca="1" si="8"/>
        <v>+3</v>
      </c>
      <c r="U24" s="18" t="str" cm="1">
        <f t="array" aca="1" ref="U24" ca="1">_xlfn.IFS(T24="Talent", VLOOKUP(AP24,$AS:$BF,14), T24="No", "", 1=1, VLOOKUP(AP24,$AS:$BF,13))</f>
        <v>Reptiles and Dinosaurs</v>
      </c>
      <c r="V24" s="1"/>
      <c r="W24" s="1"/>
      <c r="X24" s="1">
        <f t="shared" ca="1" si="10"/>
        <v>3</v>
      </c>
      <c r="Y24" s="1">
        <f t="shared" ca="1" si="10"/>
        <v>90</v>
      </c>
      <c r="Z24" s="1">
        <f t="shared" ca="1" si="10"/>
        <v>82</v>
      </c>
      <c r="AA24" s="1">
        <f t="shared" ca="1" si="10"/>
        <v>47</v>
      </c>
      <c r="AB24" s="1">
        <f t="shared" ca="1" si="10"/>
        <v>66</v>
      </c>
      <c r="AC24" s="1">
        <f t="shared" ca="1" si="10"/>
        <v>99</v>
      </c>
      <c r="AD24" s="1">
        <f t="shared" ca="1" si="10"/>
        <v>54</v>
      </c>
      <c r="AE24" s="1">
        <f t="shared" ca="1" si="10"/>
        <v>33</v>
      </c>
      <c r="AF24" s="1">
        <f t="shared" ca="1" si="10"/>
        <v>44</v>
      </c>
      <c r="AG24" s="1">
        <f t="shared" ca="1" si="10"/>
        <v>36</v>
      </c>
      <c r="AH24" s="1"/>
      <c r="AI24" s="1">
        <f t="shared" ca="1" si="10"/>
        <v>45</v>
      </c>
      <c r="AJ24" s="1">
        <f t="shared" ca="1" si="10"/>
        <v>44</v>
      </c>
      <c r="AK24" s="1">
        <f t="shared" ca="1" si="10"/>
        <v>25</v>
      </c>
      <c r="AL24" s="1">
        <f t="shared" ca="1" si="10"/>
        <v>36</v>
      </c>
      <c r="AM24" s="1">
        <f t="shared" ca="1" si="10"/>
        <v>95</v>
      </c>
      <c r="AN24" s="1">
        <f t="shared" ca="1" si="9"/>
        <v>91</v>
      </c>
      <c r="AO24" s="1">
        <f t="shared" ca="1" si="9"/>
        <v>25</v>
      </c>
      <c r="AP24" s="1">
        <f t="shared" ca="1" si="9"/>
        <v>64</v>
      </c>
      <c r="AQ24" s="1"/>
      <c r="AR24" s="1"/>
      <c r="AS24">
        <v>24</v>
      </c>
      <c r="AT24" t="s">
        <v>678</v>
      </c>
      <c r="AU24" s="9" t="s">
        <v>555</v>
      </c>
      <c r="AV24" s="9" t="s">
        <v>555</v>
      </c>
      <c r="AW24" s="9" t="s">
        <v>692</v>
      </c>
      <c r="AX24" s="9" t="s">
        <v>683</v>
      </c>
      <c r="AY24" s="16" t="s">
        <v>683</v>
      </c>
      <c r="AZ24" s="9" t="s">
        <v>692</v>
      </c>
      <c r="BA24" s="9" t="s">
        <v>695</v>
      </c>
      <c r="BB24" s="9" t="s">
        <v>350</v>
      </c>
      <c r="BC24" s="9" t="s">
        <v>175</v>
      </c>
      <c r="BD24" s="9" t="s">
        <v>555</v>
      </c>
      <c r="BE24" s="9" t="s">
        <v>638</v>
      </c>
      <c r="BF24" s="9" t="s">
        <v>653</v>
      </c>
      <c r="BK24">
        <f t="shared" ca="1" si="11"/>
        <v>71</v>
      </c>
      <c r="BL24">
        <f t="shared" ca="1" si="11"/>
        <v>98</v>
      </c>
      <c r="BM24">
        <f t="shared" ca="1" si="11"/>
        <v>58</v>
      </c>
      <c r="BN24">
        <f t="shared" ca="1" si="11"/>
        <v>41</v>
      </c>
      <c r="BO24">
        <f t="shared" ca="1" si="11"/>
        <v>86</v>
      </c>
      <c r="BP24">
        <f t="shared" ca="1" si="11"/>
        <v>89</v>
      </c>
      <c r="BQ24">
        <f t="shared" ca="1" si="11"/>
        <v>59</v>
      </c>
      <c r="BR24">
        <f t="shared" ca="1" si="11"/>
        <v>19</v>
      </c>
      <c r="BS24">
        <f t="shared" ca="1" si="11"/>
        <v>85</v>
      </c>
      <c r="BT24">
        <f t="shared" ca="1" si="11"/>
        <v>58</v>
      </c>
      <c r="BU24">
        <f t="shared" ca="1" si="11"/>
        <v>4</v>
      </c>
      <c r="BV24">
        <f t="shared" ca="1" si="11"/>
        <v>2</v>
      </c>
    </row>
    <row r="25" spans="1:76" s="20" customFormat="1" x14ac:dyDescent="0.3">
      <c r="A25" s="49">
        <v>24</v>
      </c>
      <c r="B25" s="19" t="str">
        <f t="shared" ca="1" si="2"/>
        <v>Normal</v>
      </c>
      <c r="C25" s="19" t="str">
        <f t="shared" ca="1" si="3"/>
        <v>+1</v>
      </c>
      <c r="D25" s="19">
        <f t="shared" ca="1" si="4"/>
        <v>9</v>
      </c>
      <c r="E25" s="19" t="str">
        <f t="shared" ca="1" si="5"/>
        <v>Empathy</v>
      </c>
      <c r="F25" s="19" t="str">
        <f t="shared" ca="1" si="6"/>
        <v>Nil</v>
      </c>
      <c r="G25" s="19" t="str">
        <f ca="1">IF(AB25&lt;=VLOOKUP(D25,'power prob array'!$A:$M,2), VLOOKUP(Swords!BK25,Swords!$AS:$BB,10), "")</f>
        <v>Detect Sloping Passages</v>
      </c>
      <c r="H25" s="19" t="str">
        <f ca="1">IF(AC25&lt;=VLOOKUP(D25,'power prob array'!$A:$M,3), VLOOKUP(Swords!BL25,Swords!$AS:$BB,10), "")</f>
        <v>Detect Magic</v>
      </c>
      <c r="I25" s="19" t="str">
        <f ca="1">IF(AD25&lt;=VLOOKUP(D25,'power prob array'!$A:$M,4), VLOOKUP(Swords!BM25,Swords!$AS:$BB,10), "")</f>
        <v>Detect Metal</v>
      </c>
      <c r="J25" s="19" t="str">
        <f ca="1">IF(AE25&lt;=VLOOKUP(D25,'power prob array'!$A:$M,5), VLOOKUP(Swords!BN25,Swords!$AS:$BB,10), "")</f>
        <v/>
      </c>
      <c r="K25" s="19" t="str">
        <f ca="1">IF(AF25&lt;=VLOOKUP(D25,'power prob array'!$A:$M,6), VLOOKUP(Swords!BO25,Swords!$AS:$BB,10), "")</f>
        <v/>
      </c>
      <c r="L25" s="19" t="str">
        <f ca="1">IF(AG25&lt;=VLOOKUP(D25,'power prob array'!$A:$M,7), VLOOKUP(Swords!BP25,Swords!$AS:$BB,10), "")</f>
        <v/>
      </c>
      <c r="M25" s="19" t="str">
        <f t="shared" ca="1" si="7"/>
        <v>No</v>
      </c>
      <c r="N25" s="19" t="str">
        <f ca="1">IF(AI25&lt;=VLOOKUP(D25,'power prob array'!$A:$M,8), VLOOKUP(Swords!BQ25,Swords!$AS:$BC,11), "")</f>
        <v/>
      </c>
      <c r="O25" s="19" t="str">
        <f ca="1">IF(AJ25&lt;=VLOOKUP(D25,'power prob array'!$A:$M,9), VLOOKUP(Swords!BR25,Swords!$AS:$BC,11), "")</f>
        <v/>
      </c>
      <c r="P25" s="19" t="str">
        <f ca="1">IF(AK25&lt;=VLOOKUP(D25,'power prob array'!$A:$M,10), VLOOKUP(Swords!BS25,Swords!$AS:$BC,11), "")</f>
        <v/>
      </c>
      <c r="Q25" s="19" t="str">
        <f ca="1">IF(AL25&lt;=VLOOKUP(D25,'power prob array'!$A:$M,11), VLOOKUP(Swords!BT25,Swords!$AS:$BC,11), "")</f>
        <v/>
      </c>
      <c r="R25" s="19" t="str">
        <f ca="1">IF(AM25&lt;=VLOOKUP(D25,'power prob array'!$A:$M,12), VLOOKUP(Swords!BU25,Swords!$AS:$BC,11), "")</f>
        <v/>
      </c>
      <c r="S25" s="19" t="str">
        <f ca="1">IF(AN25&lt;=VLOOKUP(D25,'power prob array'!$A:$M,13), VLOOKUP(Swords!BV25,Swords!$AS:$BC,11), "")</f>
        <v/>
      </c>
      <c r="T25" s="18" t="str">
        <f t="shared" ca="1" si="8"/>
        <v>No</v>
      </c>
      <c r="U25" s="18" t="str" cm="1">
        <f t="array" aca="1" ref="U25" ca="1">_xlfn.IFS(T25="Talent", VLOOKUP(AP25,$AS:$BF,14), T25="No", "", 1=1, VLOOKUP(AP25,$AS:$BF,13))</f>
        <v/>
      </c>
      <c r="V25" s="1"/>
      <c r="W25" s="1"/>
      <c r="X25" s="1">
        <f t="shared" ca="1" si="10"/>
        <v>62</v>
      </c>
      <c r="Y25" s="1">
        <f t="shared" ca="1" si="10"/>
        <v>6</v>
      </c>
      <c r="Z25" s="1">
        <f t="shared" ca="1" si="10"/>
        <v>9</v>
      </c>
      <c r="AA25" s="1">
        <f t="shared" ca="1" si="10"/>
        <v>94</v>
      </c>
      <c r="AB25" s="1">
        <f t="shared" ca="1" si="10"/>
        <v>82</v>
      </c>
      <c r="AC25" s="1">
        <f t="shared" ca="1" si="10"/>
        <v>51</v>
      </c>
      <c r="AD25" s="1">
        <f t="shared" ca="1" si="10"/>
        <v>92</v>
      </c>
      <c r="AE25" s="1">
        <f t="shared" ca="1" si="10"/>
        <v>46</v>
      </c>
      <c r="AF25" s="1">
        <f t="shared" ca="1" si="10"/>
        <v>91</v>
      </c>
      <c r="AG25" s="1">
        <f t="shared" ca="1" si="10"/>
        <v>64</v>
      </c>
      <c r="AH25" s="1"/>
      <c r="AI25" s="1">
        <f t="shared" ca="1" si="10"/>
        <v>87</v>
      </c>
      <c r="AJ25" s="1">
        <f t="shared" ca="1" si="10"/>
        <v>49</v>
      </c>
      <c r="AK25" s="1">
        <f t="shared" ca="1" si="10"/>
        <v>5</v>
      </c>
      <c r="AL25" s="1">
        <f t="shared" ca="1" si="10"/>
        <v>43</v>
      </c>
      <c r="AM25" s="1">
        <f t="shared" ca="1" si="10"/>
        <v>22</v>
      </c>
      <c r="AN25" s="1">
        <f t="shared" ca="1" si="9"/>
        <v>54</v>
      </c>
      <c r="AO25" s="1">
        <f t="shared" ca="1" si="9"/>
        <v>78</v>
      </c>
      <c r="AP25" s="1">
        <f t="shared" ca="1" si="9"/>
        <v>42</v>
      </c>
      <c r="AQ25" s="1"/>
      <c r="AR25" s="1"/>
      <c r="AS25" s="20">
        <v>25</v>
      </c>
      <c r="AT25" s="20" t="s">
        <v>678</v>
      </c>
      <c r="AU25" s="21" t="s">
        <v>555</v>
      </c>
      <c r="AV25" s="21" t="s">
        <v>555</v>
      </c>
      <c r="AW25" s="21" t="s">
        <v>692</v>
      </c>
      <c r="AX25" s="21" t="s">
        <v>683</v>
      </c>
      <c r="AY25" s="22" t="s">
        <v>683</v>
      </c>
      <c r="AZ25" s="21" t="s">
        <v>692</v>
      </c>
      <c r="BA25" s="21" t="s">
        <v>695</v>
      </c>
      <c r="BB25" s="21" t="s">
        <v>350</v>
      </c>
      <c r="BC25" s="21" t="s">
        <v>175</v>
      </c>
      <c r="BD25" s="21" t="s">
        <v>555</v>
      </c>
      <c r="BE25" s="21" t="s">
        <v>639</v>
      </c>
      <c r="BF25" s="21" t="s">
        <v>653</v>
      </c>
      <c r="BK25" s="20">
        <f t="shared" ca="1" si="11"/>
        <v>57</v>
      </c>
      <c r="BL25" s="20">
        <f t="shared" ca="1" si="11"/>
        <v>24</v>
      </c>
      <c r="BM25" s="20">
        <f t="shared" ca="1" si="11"/>
        <v>34</v>
      </c>
      <c r="BN25" s="20">
        <f t="shared" ca="1" si="11"/>
        <v>56</v>
      </c>
      <c r="BO25" s="20">
        <f t="shared" ca="1" si="11"/>
        <v>15</v>
      </c>
      <c r="BP25" s="20">
        <f t="shared" ca="1" si="11"/>
        <v>54</v>
      </c>
      <c r="BQ25" s="20">
        <f t="shared" ca="1" si="11"/>
        <v>87</v>
      </c>
      <c r="BR25" s="20">
        <f t="shared" ca="1" si="11"/>
        <v>23</v>
      </c>
      <c r="BS25" s="20">
        <f t="shared" ca="1" si="11"/>
        <v>27</v>
      </c>
      <c r="BT25" s="20">
        <f t="shared" ca="1" si="11"/>
        <v>99</v>
      </c>
      <c r="BU25" s="20">
        <f t="shared" ca="1" si="11"/>
        <v>82</v>
      </c>
      <c r="BV25" s="20">
        <f t="shared" ca="1" si="11"/>
        <v>93</v>
      </c>
      <c r="BX25" s="23"/>
    </row>
    <row r="26" spans="1:76" x14ac:dyDescent="0.3">
      <c r="A26" s="49">
        <v>25</v>
      </c>
      <c r="B26" s="18" t="str">
        <f t="shared" ca="1" si="2"/>
        <v>Short</v>
      </c>
      <c r="C26" s="18" t="str">
        <f t="shared" ca="1" si="3"/>
        <v>+1</v>
      </c>
      <c r="D26" s="18">
        <f t="shared" ca="1" si="4"/>
        <v>0</v>
      </c>
      <c r="E26" s="18" t="str">
        <f t="shared" ca="1" si="5"/>
        <v>Nil</v>
      </c>
      <c r="F26" s="18" t="str">
        <f t="shared" ca="1" si="6"/>
        <v>Nil</v>
      </c>
      <c r="G26" s="18" t="str">
        <f ca="1">IF(AB26&lt;=VLOOKUP(D26,'power prob array'!$A:$M,2), VLOOKUP(Swords!BK26,Swords!$AS:$BB,10), "")</f>
        <v/>
      </c>
      <c r="H26" s="18" t="str">
        <f ca="1">IF(AC26&lt;=VLOOKUP(D26,'power prob array'!$A:$M,3), VLOOKUP(Swords!BL26,Swords!$AS:$BB,10), "")</f>
        <v/>
      </c>
      <c r="I26" s="18" t="str">
        <f ca="1">IF(AD26&lt;=VLOOKUP(D26,'power prob array'!$A:$M,4), VLOOKUP(Swords!BM26,Swords!$AS:$BB,10), "")</f>
        <v/>
      </c>
      <c r="J26" s="18" t="str">
        <f ca="1">IF(AE26&lt;=VLOOKUP(D26,'power prob array'!$A:$M,5), VLOOKUP(Swords!BN26,Swords!$AS:$BB,10), "")</f>
        <v/>
      </c>
      <c r="K26" s="18" t="str">
        <f ca="1">IF(AF26&lt;=VLOOKUP(D26,'power prob array'!$A:$M,6), VLOOKUP(Swords!BO26,Swords!$AS:$BB,10), "")</f>
        <v/>
      </c>
      <c r="L26" s="18" t="str">
        <f ca="1">IF(AG26&lt;=VLOOKUP(D26,'power prob array'!$A:$M,7), VLOOKUP(Swords!BP26,Swords!$AS:$BB,10), "")</f>
        <v/>
      </c>
      <c r="M26" s="18" t="str">
        <f t="shared" ca="1" si="7"/>
        <v>No</v>
      </c>
      <c r="N26" s="18" t="str">
        <f ca="1">IF(AI26&lt;=VLOOKUP(D26,'power prob array'!$A:$M,8), VLOOKUP(Swords!BQ26,Swords!$AS:$BC,11), "")</f>
        <v/>
      </c>
      <c r="O26" s="18" t="str">
        <f ca="1">IF(AJ26&lt;=VLOOKUP(D26,'power prob array'!$A:$M,9), VLOOKUP(Swords!BR26,Swords!$AS:$BC,11), "")</f>
        <v/>
      </c>
      <c r="P26" s="18" t="str">
        <f ca="1">IF(AK26&lt;=VLOOKUP(D26,'power prob array'!$A:$M,10), VLOOKUP(Swords!BS26,Swords!$AS:$BC,11), "")</f>
        <v/>
      </c>
      <c r="Q26" s="18" t="str">
        <f ca="1">IF(AL26&lt;=VLOOKUP(D26,'power prob array'!$A:$M,11), VLOOKUP(Swords!BT26,Swords!$AS:$BC,11), "")</f>
        <v/>
      </c>
      <c r="R26" s="18" t="str">
        <f ca="1">IF(AM26&lt;=VLOOKUP(D26,'power prob array'!$A:$M,12), VLOOKUP(Swords!BU26,Swords!$AS:$BC,11), "")</f>
        <v/>
      </c>
      <c r="S26" s="18" t="str">
        <f ca="1">IF(AN26&lt;=VLOOKUP(D26,'power prob array'!$A:$M,13), VLOOKUP(Swords!BV26,Swords!$AS:$BC,11), "")</f>
        <v/>
      </c>
      <c r="T26" s="18" t="str">
        <f t="shared" ca="1" si="8"/>
        <v>No</v>
      </c>
      <c r="U26" s="18" t="str" cm="1">
        <f t="array" aca="1" ref="U26" ca="1">_xlfn.IFS(T26="Talent", VLOOKUP(AP26,$AS:$BF,14), T26="No", "", 1=1, VLOOKUP(AP26,$AS:$BF,13))</f>
        <v/>
      </c>
      <c r="V26" s="1"/>
      <c r="W26" s="1"/>
      <c r="X26" s="1">
        <f t="shared" ca="1" si="10"/>
        <v>75</v>
      </c>
      <c r="Y26" s="1">
        <f t="shared" ca="1" si="10"/>
        <v>32</v>
      </c>
      <c r="Z26" s="1">
        <f t="shared" ca="1" si="10"/>
        <v>94</v>
      </c>
      <c r="AA26" s="1">
        <f t="shared" ca="1" si="10"/>
        <v>13</v>
      </c>
      <c r="AB26" s="1">
        <f t="shared" ca="1" si="10"/>
        <v>44</v>
      </c>
      <c r="AC26" s="1">
        <f t="shared" ca="1" si="10"/>
        <v>5</v>
      </c>
      <c r="AD26" s="1">
        <f t="shared" ca="1" si="10"/>
        <v>58</v>
      </c>
      <c r="AE26" s="1">
        <f t="shared" ca="1" si="10"/>
        <v>70</v>
      </c>
      <c r="AF26" s="1">
        <f t="shared" ca="1" si="10"/>
        <v>1</v>
      </c>
      <c r="AG26" s="1">
        <f t="shared" ca="1" si="10"/>
        <v>4</v>
      </c>
      <c r="AH26" s="1"/>
      <c r="AI26" s="1">
        <f t="shared" ca="1" si="10"/>
        <v>70</v>
      </c>
      <c r="AJ26" s="1">
        <f t="shared" ca="1" si="10"/>
        <v>82</v>
      </c>
      <c r="AK26" s="1">
        <f t="shared" ca="1" si="10"/>
        <v>77</v>
      </c>
      <c r="AL26" s="1">
        <f t="shared" ca="1" si="10"/>
        <v>24</v>
      </c>
      <c r="AM26" s="1">
        <f t="shared" ca="1" si="10"/>
        <v>4</v>
      </c>
      <c r="AN26" s="1">
        <f t="shared" ca="1" si="9"/>
        <v>2</v>
      </c>
      <c r="AO26" s="1">
        <f t="shared" ca="1" si="9"/>
        <v>53</v>
      </c>
      <c r="AP26" s="1">
        <f t="shared" ca="1" si="9"/>
        <v>51</v>
      </c>
      <c r="AQ26" s="1"/>
      <c r="AR26" s="1"/>
      <c r="AS26">
        <v>26</v>
      </c>
      <c r="AT26" t="s">
        <v>678</v>
      </c>
      <c r="AU26" s="9" t="s">
        <v>555</v>
      </c>
      <c r="AV26" s="9" t="s">
        <v>555</v>
      </c>
      <c r="AW26" s="9" t="s">
        <v>692</v>
      </c>
      <c r="AX26" s="9" t="s">
        <v>683</v>
      </c>
      <c r="AY26" s="16" t="s">
        <v>683</v>
      </c>
      <c r="AZ26" s="9" t="s">
        <v>692</v>
      </c>
      <c r="BA26" s="9" t="s">
        <v>695</v>
      </c>
      <c r="BB26" s="9" t="s">
        <v>698</v>
      </c>
      <c r="BC26" s="9" t="s">
        <v>175</v>
      </c>
      <c r="BD26" s="9" t="s">
        <v>555</v>
      </c>
      <c r="BE26" s="9" t="s">
        <v>639</v>
      </c>
      <c r="BF26" s="9" t="s">
        <v>654</v>
      </c>
      <c r="BK26">
        <f t="shared" ca="1" si="11"/>
        <v>69</v>
      </c>
      <c r="BL26">
        <f t="shared" ca="1" si="11"/>
        <v>53</v>
      </c>
      <c r="BM26">
        <f t="shared" ca="1" si="11"/>
        <v>19</v>
      </c>
      <c r="BN26">
        <f t="shared" ca="1" si="11"/>
        <v>96</v>
      </c>
      <c r="BO26">
        <f t="shared" ca="1" si="11"/>
        <v>85</v>
      </c>
      <c r="BP26">
        <f t="shared" ca="1" si="11"/>
        <v>13</v>
      </c>
      <c r="BQ26">
        <f t="shared" ca="1" si="11"/>
        <v>11</v>
      </c>
      <c r="BR26">
        <f t="shared" ca="1" si="11"/>
        <v>71</v>
      </c>
      <c r="BS26">
        <f t="shared" ca="1" si="11"/>
        <v>58</v>
      </c>
      <c r="BT26">
        <f t="shared" ca="1" si="11"/>
        <v>89</v>
      </c>
      <c r="BU26">
        <f t="shared" ca="1" si="11"/>
        <v>4</v>
      </c>
      <c r="BV26">
        <f t="shared" ca="1" si="11"/>
        <v>16</v>
      </c>
    </row>
    <row r="27" spans="1:76" s="20" customFormat="1" x14ac:dyDescent="0.3">
      <c r="A27" s="49">
        <v>26</v>
      </c>
      <c r="B27" s="19" t="str">
        <f t="shared" ca="1" si="2"/>
        <v>Normal</v>
      </c>
      <c r="C27" s="19" t="str">
        <f t="shared" ca="1" si="3"/>
        <v>+1</v>
      </c>
      <c r="D27" s="19">
        <f t="shared" ca="1" si="4"/>
        <v>0</v>
      </c>
      <c r="E27" s="19" t="str">
        <f t="shared" ca="1" si="5"/>
        <v>Nil</v>
      </c>
      <c r="F27" s="19" t="str">
        <f t="shared" ca="1" si="6"/>
        <v>Nil</v>
      </c>
      <c r="G27" s="19" t="str">
        <f ca="1">IF(AB27&lt;=VLOOKUP(D27,'power prob array'!$A:$M,2), VLOOKUP(Swords!BK27,Swords!$AS:$BB,10), "")</f>
        <v/>
      </c>
      <c r="H27" s="19" t="str">
        <f ca="1">IF(AC27&lt;=VLOOKUP(D27,'power prob array'!$A:$M,3), VLOOKUP(Swords!BL27,Swords!$AS:$BB,10), "")</f>
        <v/>
      </c>
      <c r="I27" s="19" t="str">
        <f ca="1">IF(AD27&lt;=VLOOKUP(D27,'power prob array'!$A:$M,4), VLOOKUP(Swords!BM27,Swords!$AS:$BB,10), "")</f>
        <v/>
      </c>
      <c r="J27" s="19" t="str">
        <f ca="1">IF(AE27&lt;=VLOOKUP(D27,'power prob array'!$A:$M,5), VLOOKUP(Swords!BN27,Swords!$AS:$BB,10), "")</f>
        <v/>
      </c>
      <c r="K27" s="19" t="str">
        <f ca="1">IF(AF27&lt;=VLOOKUP(D27,'power prob array'!$A:$M,6), VLOOKUP(Swords!BO27,Swords!$AS:$BB,10), "")</f>
        <v/>
      </c>
      <c r="L27" s="19" t="str">
        <f ca="1">IF(AG27&lt;=VLOOKUP(D27,'power prob array'!$A:$M,7), VLOOKUP(Swords!BP27,Swords!$AS:$BB,10), "")</f>
        <v/>
      </c>
      <c r="M27" s="19" t="str">
        <f t="shared" ca="1" si="7"/>
        <v>No</v>
      </c>
      <c r="N27" s="19" t="str">
        <f ca="1">IF(AI27&lt;=VLOOKUP(D27,'power prob array'!$A:$M,8), VLOOKUP(Swords!BQ27,Swords!$AS:$BC,11), "")</f>
        <v/>
      </c>
      <c r="O27" s="19" t="str">
        <f ca="1">IF(AJ27&lt;=VLOOKUP(D27,'power prob array'!$A:$M,9), VLOOKUP(Swords!BR27,Swords!$AS:$BC,11), "")</f>
        <v/>
      </c>
      <c r="P27" s="19" t="str">
        <f ca="1">IF(AK27&lt;=VLOOKUP(D27,'power prob array'!$A:$M,10), VLOOKUP(Swords!BS27,Swords!$AS:$BC,11), "")</f>
        <v/>
      </c>
      <c r="Q27" s="19" t="str">
        <f ca="1">IF(AL27&lt;=VLOOKUP(D27,'power prob array'!$A:$M,11), VLOOKUP(Swords!BT27,Swords!$AS:$BC,11), "")</f>
        <v/>
      </c>
      <c r="R27" s="19" t="str">
        <f ca="1">IF(AM27&lt;=VLOOKUP(D27,'power prob array'!$A:$M,12), VLOOKUP(Swords!BU27,Swords!$AS:$BC,11), "")</f>
        <v/>
      </c>
      <c r="S27" s="19" t="str">
        <f ca="1">IF(AN27&lt;=VLOOKUP(D27,'power prob array'!$A:$M,13), VLOOKUP(Swords!BV27,Swords!$AS:$BC,11), "")</f>
        <v/>
      </c>
      <c r="T27" s="18" t="str">
        <f t="shared" ca="1" si="8"/>
        <v>No</v>
      </c>
      <c r="U27" s="18" t="str" cm="1">
        <f t="array" aca="1" ref="U27" ca="1">_xlfn.IFS(T27="Talent", VLOOKUP(AP27,$AS:$BF,14), T27="No", "", 1=1, VLOOKUP(AP27,$AS:$BF,13))</f>
        <v/>
      </c>
      <c r="V27" s="1"/>
      <c r="W27" s="1"/>
      <c r="X27" s="1">
        <f t="shared" ca="1" si="10"/>
        <v>10</v>
      </c>
      <c r="Y27" s="1">
        <f t="shared" ca="1" si="10"/>
        <v>12</v>
      </c>
      <c r="Z27" s="1">
        <f t="shared" ca="1" si="10"/>
        <v>76</v>
      </c>
      <c r="AA27" s="1">
        <f t="shared" ca="1" si="10"/>
        <v>48</v>
      </c>
      <c r="AB27" s="1">
        <f t="shared" ca="1" si="10"/>
        <v>77</v>
      </c>
      <c r="AC27" s="1">
        <f t="shared" ca="1" si="10"/>
        <v>26</v>
      </c>
      <c r="AD27" s="1">
        <f t="shared" ca="1" si="10"/>
        <v>6</v>
      </c>
      <c r="AE27" s="1">
        <f t="shared" ca="1" si="10"/>
        <v>80</v>
      </c>
      <c r="AF27" s="1">
        <f t="shared" ca="1" si="10"/>
        <v>72</v>
      </c>
      <c r="AG27" s="1">
        <f t="shared" ca="1" si="10"/>
        <v>10</v>
      </c>
      <c r="AH27" s="1"/>
      <c r="AI27" s="1">
        <f t="shared" ca="1" si="10"/>
        <v>59</v>
      </c>
      <c r="AJ27" s="1">
        <f t="shared" ca="1" si="10"/>
        <v>58</v>
      </c>
      <c r="AK27" s="1">
        <f t="shared" ca="1" si="10"/>
        <v>50</v>
      </c>
      <c r="AL27" s="1">
        <f t="shared" ca="1" si="10"/>
        <v>81</v>
      </c>
      <c r="AM27" s="1">
        <f t="shared" ca="1" si="10"/>
        <v>18</v>
      </c>
      <c r="AN27" s="1">
        <f t="shared" ca="1" si="9"/>
        <v>35</v>
      </c>
      <c r="AO27" s="1">
        <f t="shared" ca="1" si="9"/>
        <v>80</v>
      </c>
      <c r="AP27" s="1">
        <f t="shared" ca="1" si="9"/>
        <v>57</v>
      </c>
      <c r="AQ27" s="1"/>
      <c r="AR27" s="1"/>
      <c r="AS27" s="20">
        <v>27</v>
      </c>
      <c r="AT27" s="20" t="s">
        <v>678</v>
      </c>
      <c r="AU27" s="21" t="s">
        <v>555</v>
      </c>
      <c r="AV27" s="21" t="s">
        <v>555</v>
      </c>
      <c r="AW27" s="21" t="s">
        <v>692</v>
      </c>
      <c r="AX27" s="21" t="s">
        <v>683</v>
      </c>
      <c r="AY27" s="22" t="s">
        <v>683</v>
      </c>
      <c r="AZ27" s="21" t="s">
        <v>692</v>
      </c>
      <c r="BA27" s="21" t="s">
        <v>695</v>
      </c>
      <c r="BB27" s="21" t="s">
        <v>698</v>
      </c>
      <c r="BC27" s="21" t="s">
        <v>175</v>
      </c>
      <c r="BD27" s="21" t="s">
        <v>555</v>
      </c>
      <c r="BE27" s="21" t="s">
        <v>639</v>
      </c>
      <c r="BF27" s="21" t="s">
        <v>654</v>
      </c>
      <c r="BK27" s="20">
        <f t="shared" ca="1" si="11"/>
        <v>90</v>
      </c>
      <c r="BL27" s="20">
        <f t="shared" ca="1" si="11"/>
        <v>23</v>
      </c>
      <c r="BM27" s="20">
        <f t="shared" ca="1" si="11"/>
        <v>15</v>
      </c>
      <c r="BN27" s="20">
        <f t="shared" ca="1" si="11"/>
        <v>44</v>
      </c>
      <c r="BO27" s="20">
        <f t="shared" ca="1" si="11"/>
        <v>43</v>
      </c>
      <c r="BP27" s="20">
        <f t="shared" ca="1" si="11"/>
        <v>56</v>
      </c>
      <c r="BQ27" s="20">
        <f t="shared" ca="1" si="11"/>
        <v>67</v>
      </c>
      <c r="BR27" s="20">
        <f t="shared" ca="1" si="11"/>
        <v>58</v>
      </c>
      <c r="BS27" s="20">
        <f t="shared" ca="1" si="11"/>
        <v>8</v>
      </c>
      <c r="BT27" s="20">
        <f t="shared" ca="1" si="11"/>
        <v>2</v>
      </c>
      <c r="BU27" s="20">
        <f t="shared" ca="1" si="11"/>
        <v>3</v>
      </c>
      <c r="BV27" s="20">
        <f t="shared" ca="1" si="11"/>
        <v>6</v>
      </c>
      <c r="BX27" s="23"/>
    </row>
    <row r="28" spans="1:76" x14ac:dyDescent="0.3">
      <c r="A28" s="49">
        <v>27</v>
      </c>
      <c r="B28" s="18" t="str">
        <f t="shared" ca="1" si="2"/>
        <v>Normal</v>
      </c>
      <c r="C28" s="18" t="str">
        <f t="shared" ca="1" si="3"/>
        <v>+1</v>
      </c>
      <c r="D28" s="18">
        <f t="shared" ca="1" si="4"/>
        <v>0</v>
      </c>
      <c r="E28" s="18" t="str">
        <f t="shared" ca="1" si="5"/>
        <v>Nil</v>
      </c>
      <c r="F28" s="18" t="str">
        <f t="shared" ca="1" si="6"/>
        <v>Nil</v>
      </c>
      <c r="G28" s="18" t="str">
        <f ca="1">IF(AB28&lt;=VLOOKUP(D28,'power prob array'!$A:$M,2), VLOOKUP(Swords!BK28,Swords!$AS:$BB,10), "")</f>
        <v/>
      </c>
      <c r="H28" s="18" t="str">
        <f ca="1">IF(AC28&lt;=VLOOKUP(D28,'power prob array'!$A:$M,3), VLOOKUP(Swords!BL28,Swords!$AS:$BB,10), "")</f>
        <v/>
      </c>
      <c r="I28" s="18" t="str">
        <f ca="1">IF(AD28&lt;=VLOOKUP(D28,'power prob array'!$A:$M,4), VLOOKUP(Swords!BM28,Swords!$AS:$BB,10), "")</f>
        <v/>
      </c>
      <c r="J28" s="18" t="str">
        <f ca="1">IF(AE28&lt;=VLOOKUP(D28,'power prob array'!$A:$M,5), VLOOKUP(Swords!BN28,Swords!$AS:$BB,10), "")</f>
        <v/>
      </c>
      <c r="K28" s="18" t="str">
        <f ca="1">IF(AF28&lt;=VLOOKUP(D28,'power prob array'!$A:$M,6), VLOOKUP(Swords!BO28,Swords!$AS:$BB,10), "")</f>
        <v/>
      </c>
      <c r="L28" s="18" t="str">
        <f ca="1">IF(AG28&lt;=VLOOKUP(D28,'power prob array'!$A:$M,7), VLOOKUP(Swords!BP28,Swords!$AS:$BB,10), "")</f>
        <v/>
      </c>
      <c r="M28" s="18" t="str">
        <f t="shared" ca="1" si="7"/>
        <v>No</v>
      </c>
      <c r="N28" s="18" t="str">
        <f ca="1">IF(AI28&lt;=VLOOKUP(D28,'power prob array'!$A:$M,8), VLOOKUP(Swords!BQ28,Swords!$AS:$BC,11), "")</f>
        <v/>
      </c>
      <c r="O28" s="18" t="str">
        <f ca="1">IF(AJ28&lt;=VLOOKUP(D28,'power prob array'!$A:$M,9), VLOOKUP(Swords!BR28,Swords!$AS:$BC,11), "")</f>
        <v/>
      </c>
      <c r="P28" s="18" t="str">
        <f ca="1">IF(AK28&lt;=VLOOKUP(D28,'power prob array'!$A:$M,10), VLOOKUP(Swords!BS28,Swords!$AS:$BC,11), "")</f>
        <v/>
      </c>
      <c r="Q28" s="18" t="str">
        <f ca="1">IF(AL28&lt;=VLOOKUP(D28,'power prob array'!$A:$M,11), VLOOKUP(Swords!BT28,Swords!$AS:$BC,11), "")</f>
        <v/>
      </c>
      <c r="R28" s="18" t="str">
        <f ca="1">IF(AM28&lt;=VLOOKUP(D28,'power prob array'!$A:$M,12), VLOOKUP(Swords!BU28,Swords!$AS:$BC,11), "")</f>
        <v/>
      </c>
      <c r="S28" s="18" t="str">
        <f ca="1">IF(AN28&lt;=VLOOKUP(D28,'power prob array'!$A:$M,13), VLOOKUP(Swords!BV28,Swords!$AS:$BC,11), "")</f>
        <v/>
      </c>
      <c r="T28" s="18" t="str">
        <f t="shared" ca="1" si="8"/>
        <v>No</v>
      </c>
      <c r="U28" s="18" t="str" cm="1">
        <f t="array" aca="1" ref="U28" ca="1">_xlfn.IFS(T28="Talent", VLOOKUP(AP28,$AS:$BF,14), T28="No", "", 1=1, VLOOKUP(AP28,$AS:$BF,13))</f>
        <v/>
      </c>
      <c r="V28" s="1"/>
      <c r="W28" s="1"/>
      <c r="X28" s="1">
        <f t="shared" ca="1" si="10"/>
        <v>18</v>
      </c>
      <c r="Y28" s="1">
        <f t="shared" ca="1" si="10"/>
        <v>11</v>
      </c>
      <c r="Z28" s="1">
        <f t="shared" ca="1" si="10"/>
        <v>31</v>
      </c>
      <c r="AA28" s="1">
        <f t="shared" ca="1" si="10"/>
        <v>44</v>
      </c>
      <c r="AB28" s="1">
        <f t="shared" ca="1" si="10"/>
        <v>44</v>
      </c>
      <c r="AC28" s="1">
        <f t="shared" ca="1" si="10"/>
        <v>85</v>
      </c>
      <c r="AD28" s="1">
        <f t="shared" ca="1" si="10"/>
        <v>83</v>
      </c>
      <c r="AE28" s="1">
        <f t="shared" ca="1" si="10"/>
        <v>45</v>
      </c>
      <c r="AF28" s="1">
        <f t="shared" ca="1" si="10"/>
        <v>48</v>
      </c>
      <c r="AG28" s="1">
        <f t="shared" ca="1" si="10"/>
        <v>96</v>
      </c>
      <c r="AH28" s="1"/>
      <c r="AI28" s="1">
        <f t="shared" ca="1" si="10"/>
        <v>85</v>
      </c>
      <c r="AJ28" s="1">
        <f t="shared" ca="1" si="10"/>
        <v>43</v>
      </c>
      <c r="AK28" s="1">
        <f t="shared" ca="1" si="10"/>
        <v>43</v>
      </c>
      <c r="AL28" s="1">
        <f t="shared" ca="1" si="10"/>
        <v>70</v>
      </c>
      <c r="AM28" s="1">
        <f t="shared" ca="1" si="10"/>
        <v>80</v>
      </c>
      <c r="AN28" s="1">
        <f t="shared" ca="1" si="9"/>
        <v>54</v>
      </c>
      <c r="AO28" s="1">
        <f t="shared" ca="1" si="9"/>
        <v>48</v>
      </c>
      <c r="AP28" s="1">
        <f t="shared" ca="1" si="9"/>
        <v>87</v>
      </c>
      <c r="AQ28" s="1"/>
      <c r="AR28" s="1"/>
      <c r="AS28">
        <v>28</v>
      </c>
      <c r="AT28" t="s">
        <v>678</v>
      </c>
      <c r="AU28" s="9" t="s">
        <v>555</v>
      </c>
      <c r="AV28" s="9" t="s">
        <v>555</v>
      </c>
      <c r="AW28" s="9" t="s">
        <v>692</v>
      </c>
      <c r="AX28" s="9" t="s">
        <v>683</v>
      </c>
      <c r="AY28" s="16" t="s">
        <v>683</v>
      </c>
      <c r="AZ28" s="9" t="s">
        <v>692</v>
      </c>
      <c r="BA28" s="9" t="s">
        <v>695</v>
      </c>
      <c r="BB28" s="9" t="s">
        <v>698</v>
      </c>
      <c r="BC28" s="9" t="s">
        <v>175</v>
      </c>
      <c r="BD28" s="9" t="s">
        <v>555</v>
      </c>
      <c r="BE28" s="9" t="s">
        <v>639</v>
      </c>
      <c r="BF28" s="9" t="s">
        <v>655</v>
      </c>
      <c r="BK28">
        <f t="shared" ca="1" si="11"/>
        <v>37</v>
      </c>
      <c r="BL28">
        <f t="shared" ca="1" si="11"/>
        <v>28</v>
      </c>
      <c r="BM28">
        <f t="shared" ca="1" si="11"/>
        <v>74</v>
      </c>
      <c r="BN28">
        <f t="shared" ca="1" si="11"/>
        <v>56</v>
      </c>
      <c r="BO28">
        <f t="shared" ca="1" si="11"/>
        <v>38</v>
      </c>
      <c r="BP28">
        <f t="shared" ca="1" si="11"/>
        <v>24</v>
      </c>
      <c r="BQ28">
        <f t="shared" ca="1" si="11"/>
        <v>31</v>
      </c>
      <c r="BR28">
        <f t="shared" ca="1" si="11"/>
        <v>23</v>
      </c>
      <c r="BS28">
        <f t="shared" ca="1" si="11"/>
        <v>15</v>
      </c>
      <c r="BT28">
        <f t="shared" ca="1" si="11"/>
        <v>99</v>
      </c>
      <c r="BU28">
        <f t="shared" ca="1" si="11"/>
        <v>94</v>
      </c>
      <c r="BV28">
        <f t="shared" ca="1" si="11"/>
        <v>4</v>
      </c>
    </row>
    <row r="29" spans="1:76" s="20" customFormat="1" x14ac:dyDescent="0.3">
      <c r="A29" s="49">
        <v>28</v>
      </c>
      <c r="B29" s="19" t="str">
        <f ca="1">VLOOKUP(X29,$AS$1:$AT$100,2)</f>
        <v>Short</v>
      </c>
      <c r="C29" s="19" t="str">
        <f ca="1">VLOOKUP(Y29,$AS$1:$AV$100,VLOOKUP(B29,$BG$1:$BH$5,2))</f>
        <v>+1</v>
      </c>
      <c r="D29" s="19">
        <f ca="1">INT(VLOOKUP(AA29,$AS$1:$AW$100,5))</f>
        <v>0</v>
      </c>
      <c r="E29" s="19" t="str">
        <f ca="1">VLOOKUP(AA29,$AS$1:$AX$100,6)</f>
        <v>Nil</v>
      </c>
      <c r="F29" s="19" t="str">
        <f ca="1">IF(E29="Speech", VLOOKUP(AA29,$AS$1:$AY$100,7), "Nil")</f>
        <v>Nil</v>
      </c>
      <c r="G29" s="19" t="str">
        <f ca="1">IF(AB29&lt;=VLOOKUP(D29,'power prob array'!$A:$M,2), VLOOKUP(Swords!BK29,Swords!$AS:$BB,10), "")</f>
        <v/>
      </c>
      <c r="H29" s="19" t="str">
        <f ca="1">IF(AC29&lt;=VLOOKUP(D29,'power prob array'!$A:$M,3), VLOOKUP(Swords!BL29,Swords!$AS:$BB,10), "")</f>
        <v/>
      </c>
      <c r="I29" s="19" t="str">
        <f ca="1">IF(AD29&lt;=VLOOKUP(D29,'power prob array'!$A:$M,4), VLOOKUP(Swords!BM29,Swords!$AS:$BB,10), "")</f>
        <v/>
      </c>
      <c r="J29" s="19" t="str">
        <f ca="1">IF(AE29&lt;=VLOOKUP(D29,'power prob array'!$A:$M,5), VLOOKUP(Swords!BN29,Swords!$AS:$BB,10), "")</f>
        <v/>
      </c>
      <c r="K29" s="19" t="str">
        <f ca="1">IF(AF29&lt;=VLOOKUP(D29,'power prob array'!$A:$M,6), VLOOKUP(Swords!BO29,Swords!$AS:$BB,10), "")</f>
        <v/>
      </c>
      <c r="L29" s="19" t="str">
        <f ca="1">IF(AG29&lt;=VLOOKUP(D29,'power prob array'!$A:$M,7), VLOOKUP(Swords!BP29,Swords!$AS:$BB,10), "")</f>
        <v/>
      </c>
      <c r="M29" s="19" t="str">
        <f ca="1">IF(D29&gt;=11, "Yes", "No")</f>
        <v>No</v>
      </c>
      <c r="N29" s="19" t="str">
        <f ca="1">IF(AI29&lt;=VLOOKUP(D29,'power prob array'!$A:$M,8), VLOOKUP(Swords!BQ29,Swords!$AS:$BC,11), "")</f>
        <v/>
      </c>
      <c r="O29" s="19" t="str">
        <f ca="1">IF(AJ29&lt;=VLOOKUP(D29,'power prob array'!$A:$M,9), VLOOKUP(Swords!BR29,Swords!$AS:$BC,11), "")</f>
        <v/>
      </c>
      <c r="P29" s="19" t="str">
        <f ca="1">IF(AK29&lt;=VLOOKUP(D29,'power prob array'!$A:$M,10), VLOOKUP(Swords!BS29,Swords!$AS:$BC,11), "")</f>
        <v/>
      </c>
      <c r="Q29" s="19" t="str">
        <f ca="1">IF(AL29&lt;=VLOOKUP(D29,'power prob array'!$A:$M,11), VLOOKUP(Swords!BT29,Swords!$AS:$BC,11), "")</f>
        <v/>
      </c>
      <c r="R29" s="19" t="str">
        <f ca="1">IF(AM29&lt;=VLOOKUP(D29,'power prob array'!$A:$M,12), VLOOKUP(Swords!BU29,Swords!$AS:$BC,11), "")</f>
        <v/>
      </c>
      <c r="S29" s="19" t="str">
        <f ca="1">IF(AN29&lt;=VLOOKUP(D29,'power prob array'!$A:$M,13), VLOOKUP(Swords!BV29,Swords!$AS:$BC,11), "")</f>
        <v/>
      </c>
      <c r="T29" s="18" t="str">
        <f t="shared" ca="1" si="8"/>
        <v>No</v>
      </c>
      <c r="U29" s="18" t="str" cm="1">
        <f t="array" aca="1" ref="U29" ca="1">_xlfn.IFS(T29="Talent", VLOOKUP(AP29,$AS:$BF,14), T29="No", "", 1=1, VLOOKUP(AP29,$AS:$BF,13))</f>
        <v/>
      </c>
      <c r="V29" s="1"/>
      <c r="W29" s="1"/>
      <c r="X29" s="1">
        <f t="shared" ca="1" si="10"/>
        <v>71</v>
      </c>
      <c r="Y29" s="1">
        <f t="shared" ca="1" si="10"/>
        <v>66</v>
      </c>
      <c r="Z29" s="1">
        <f t="shared" ca="1" si="10"/>
        <v>65</v>
      </c>
      <c r="AA29" s="1">
        <f t="shared" ca="1" si="10"/>
        <v>62</v>
      </c>
      <c r="AB29" s="1">
        <f t="shared" ca="1" si="10"/>
        <v>32</v>
      </c>
      <c r="AC29" s="1">
        <f t="shared" ca="1" si="10"/>
        <v>39</v>
      </c>
      <c r="AD29" s="1">
        <f t="shared" ca="1" si="10"/>
        <v>13</v>
      </c>
      <c r="AE29" s="1">
        <f t="shared" ca="1" si="10"/>
        <v>72</v>
      </c>
      <c r="AF29" s="1">
        <f t="shared" ca="1" si="10"/>
        <v>66</v>
      </c>
      <c r="AG29" s="1">
        <f t="shared" ca="1" si="10"/>
        <v>72</v>
      </c>
      <c r="AH29" s="1"/>
      <c r="AI29" s="1">
        <f t="shared" ca="1" si="10"/>
        <v>65</v>
      </c>
      <c r="AJ29" s="1">
        <f t="shared" ca="1" si="10"/>
        <v>68</v>
      </c>
      <c r="AK29" s="1">
        <f t="shared" ca="1" si="10"/>
        <v>30</v>
      </c>
      <c r="AL29" s="1">
        <f t="shared" ca="1" si="10"/>
        <v>33</v>
      </c>
      <c r="AM29" s="1">
        <f t="shared" ca="1" si="10"/>
        <v>61</v>
      </c>
      <c r="AN29" s="1">
        <f t="shared" ca="1" si="9"/>
        <v>13</v>
      </c>
      <c r="AO29" s="1">
        <f t="shared" ca="1" si="9"/>
        <v>41</v>
      </c>
      <c r="AP29" s="1">
        <f t="shared" ca="1" si="9"/>
        <v>36</v>
      </c>
      <c r="AQ29" s="1"/>
      <c r="AR29" s="1"/>
      <c r="AS29" s="20">
        <v>29</v>
      </c>
      <c r="AT29" s="20" t="s">
        <v>678</v>
      </c>
      <c r="AU29" s="21" t="s">
        <v>555</v>
      </c>
      <c r="AV29" s="21" t="s">
        <v>555</v>
      </c>
      <c r="AW29" s="21" t="s">
        <v>692</v>
      </c>
      <c r="AX29" s="21" t="s">
        <v>683</v>
      </c>
      <c r="AY29" s="22" t="s">
        <v>683</v>
      </c>
      <c r="AZ29" s="21" t="s">
        <v>692</v>
      </c>
      <c r="BA29" s="21" t="s">
        <v>695</v>
      </c>
      <c r="BB29" s="21" t="s">
        <v>698</v>
      </c>
      <c r="BC29" s="21" t="s">
        <v>175</v>
      </c>
      <c r="BD29" s="21" t="s">
        <v>555</v>
      </c>
      <c r="BE29" s="21" t="s">
        <v>639</v>
      </c>
      <c r="BF29" s="21" t="s">
        <v>655</v>
      </c>
      <c r="BK29" s="20">
        <f t="shared" ca="1" si="11"/>
        <v>86</v>
      </c>
      <c r="BL29" s="20">
        <f t="shared" ca="1" si="11"/>
        <v>33</v>
      </c>
      <c r="BM29" s="20">
        <f t="shared" ca="1" si="11"/>
        <v>78</v>
      </c>
      <c r="BN29" s="20">
        <f t="shared" ca="1" si="11"/>
        <v>3</v>
      </c>
      <c r="BO29" s="20">
        <f t="shared" ca="1" si="11"/>
        <v>80</v>
      </c>
      <c r="BP29" s="20">
        <f t="shared" ca="1" si="11"/>
        <v>9</v>
      </c>
      <c r="BQ29" s="20">
        <f t="shared" ca="1" si="11"/>
        <v>91</v>
      </c>
      <c r="BR29" s="20">
        <f t="shared" ca="1" si="11"/>
        <v>50</v>
      </c>
      <c r="BS29" s="20">
        <f t="shared" ca="1" si="11"/>
        <v>14</v>
      </c>
      <c r="BT29" s="20">
        <f t="shared" ca="1" si="11"/>
        <v>35</v>
      </c>
      <c r="BU29" s="20">
        <f t="shared" ca="1" si="11"/>
        <v>89</v>
      </c>
      <c r="BV29" s="20">
        <f t="shared" ca="1" si="11"/>
        <v>70</v>
      </c>
      <c r="BX29" s="23"/>
    </row>
    <row r="30" spans="1:76" x14ac:dyDescent="0.3">
      <c r="A30" s="49">
        <v>29</v>
      </c>
      <c r="B30" s="18" t="str">
        <f t="shared" ref="B30:B37" ca="1" si="12">VLOOKUP(X30,$AS$1:$AT$100,2)</f>
        <v>Short</v>
      </c>
      <c r="C30" s="18" t="str">
        <f t="shared" ref="C30:C37" ca="1" si="13">VLOOKUP(Y30,$AS$1:$AV$100,VLOOKUP(B30,$BG$1:$BH$5,2))</f>
        <v>+1</v>
      </c>
      <c r="D30" s="18">
        <f t="shared" ref="D30:D37" ca="1" si="14">INT(VLOOKUP(AA30,$AS$1:$AW$100,5))</f>
        <v>8</v>
      </c>
      <c r="E30" s="18" t="str">
        <f t="shared" ref="E30:E37" ca="1" si="15">VLOOKUP(AA30,$AS$1:$AX$100,6)</f>
        <v>Empathy</v>
      </c>
      <c r="F30" s="18" t="str">
        <f t="shared" ref="F30:F37" ca="1" si="16">IF(E30="Speech", VLOOKUP(AA30,$AS$1:$AY$100,7), "Nil")</f>
        <v>Nil</v>
      </c>
      <c r="G30" s="18" t="str">
        <f ca="1">IF(AB30&lt;=VLOOKUP(D30,'power prob array'!$A:$M,2), VLOOKUP(Swords!BK30,Swords!$AS:$BB,10), "")</f>
        <v>Detect Sloping Passages</v>
      </c>
      <c r="H30" s="18" t="str">
        <f ca="1">IF(AC30&lt;=VLOOKUP(D30,'power prob array'!$A:$M,3), VLOOKUP(Swords!BL30,Swords!$AS:$BB,10), "")</f>
        <v>Find Traps</v>
      </c>
      <c r="I30" s="18" t="str">
        <f ca="1">IF(AD30&lt;=VLOOKUP(D30,'power prob array'!$A:$M,4), VLOOKUP(Swords!BM30,Swords!$AS:$BB,10), "")</f>
        <v/>
      </c>
      <c r="J30" s="18" t="str">
        <f ca="1">IF(AE30&lt;=VLOOKUP(D30,'power prob array'!$A:$M,5), VLOOKUP(Swords!BN30,Swords!$AS:$BB,10), "")</f>
        <v/>
      </c>
      <c r="K30" s="18" t="str">
        <f ca="1">IF(AF30&lt;=VLOOKUP(D30,'power prob array'!$A:$M,6), VLOOKUP(Swords!BO30,Swords!$AS:$BB,10), "")</f>
        <v/>
      </c>
      <c r="L30" s="18" t="str">
        <f ca="1">IF(AG30&lt;=VLOOKUP(D30,'power prob array'!$A:$M,7), VLOOKUP(Swords!BP30,Swords!$AS:$BB,10), "")</f>
        <v/>
      </c>
      <c r="M30" s="18" t="str">
        <f t="shared" ref="M30:M37" ca="1" si="17">IF(D30&gt;=11, "Yes", "No")</f>
        <v>No</v>
      </c>
      <c r="N30" s="18" t="str">
        <f ca="1">IF(AI30&lt;=VLOOKUP(D30,'power prob array'!$A:$M,8), VLOOKUP(Swords!BQ30,Swords!$AS:$BC,11), "")</f>
        <v/>
      </c>
      <c r="O30" s="18" t="str">
        <f ca="1">IF(AJ30&lt;=VLOOKUP(D30,'power prob array'!$A:$M,9), VLOOKUP(Swords!BR30,Swords!$AS:$BC,11), "")</f>
        <v/>
      </c>
      <c r="P30" s="18" t="str">
        <f ca="1">IF(AK30&lt;=VLOOKUP(D30,'power prob array'!$A:$M,10), VLOOKUP(Swords!BS30,Swords!$AS:$BC,11), "")</f>
        <v/>
      </c>
      <c r="Q30" s="18" t="str">
        <f ca="1">IF(AL30&lt;=VLOOKUP(D30,'power prob array'!$A:$M,11), VLOOKUP(Swords!BT30,Swords!$AS:$BC,11), "")</f>
        <v/>
      </c>
      <c r="R30" s="18" t="str">
        <f ca="1">IF(AM30&lt;=VLOOKUP(D30,'power prob array'!$A:$M,12), VLOOKUP(Swords!BU30,Swords!$AS:$BC,11), "")</f>
        <v/>
      </c>
      <c r="S30" s="18" t="str">
        <f ca="1">IF(AN30&lt;=VLOOKUP(D30,'power prob array'!$A:$M,13), VLOOKUP(Swords!BV30,Swords!$AS:$BC,11), "")</f>
        <v/>
      </c>
      <c r="T30" s="18" t="str">
        <f t="shared" ca="1" si="8"/>
        <v>No</v>
      </c>
      <c r="U30" s="18" t="str" cm="1">
        <f t="array" aca="1" ref="U30" ca="1">_xlfn.IFS(T30="Talent", VLOOKUP(AP30,$AS:$BF,14), T30="No", "", 1=1, VLOOKUP(AP30,$AS:$BF,13))</f>
        <v/>
      </c>
      <c r="V30" s="1"/>
      <c r="W30" s="1"/>
      <c r="X30" s="1">
        <f t="shared" ca="1" si="10"/>
        <v>77</v>
      </c>
      <c r="Y30" s="1">
        <f t="shared" ca="1" si="10"/>
        <v>29</v>
      </c>
      <c r="Z30" s="1">
        <f t="shared" ca="1" si="10"/>
        <v>68</v>
      </c>
      <c r="AA30" s="1">
        <f t="shared" ca="1" si="10"/>
        <v>90</v>
      </c>
      <c r="AB30" s="1">
        <f t="shared" ca="1" si="10"/>
        <v>53</v>
      </c>
      <c r="AC30" s="1">
        <f t="shared" ca="1" si="10"/>
        <v>45</v>
      </c>
      <c r="AD30" s="1">
        <f t="shared" ca="1" si="10"/>
        <v>33</v>
      </c>
      <c r="AE30" s="1">
        <f t="shared" ca="1" si="10"/>
        <v>37</v>
      </c>
      <c r="AF30" s="1">
        <f t="shared" ca="1" si="10"/>
        <v>24</v>
      </c>
      <c r="AG30" s="1">
        <f t="shared" ca="1" si="10"/>
        <v>38</v>
      </c>
      <c r="AH30" s="1"/>
      <c r="AI30" s="1">
        <f t="shared" ca="1" si="10"/>
        <v>75</v>
      </c>
      <c r="AJ30" s="1">
        <f t="shared" ca="1" si="10"/>
        <v>64</v>
      </c>
      <c r="AK30" s="1">
        <f t="shared" ca="1" si="10"/>
        <v>7</v>
      </c>
      <c r="AL30" s="1">
        <f t="shared" ca="1" si="10"/>
        <v>47</v>
      </c>
      <c r="AM30" s="1">
        <f t="shared" ca="1" si="10"/>
        <v>34</v>
      </c>
      <c r="AN30" s="1">
        <f t="shared" ca="1" si="9"/>
        <v>9</v>
      </c>
      <c r="AO30" s="1">
        <f t="shared" ca="1" si="9"/>
        <v>49</v>
      </c>
      <c r="AP30" s="1">
        <f t="shared" ca="1" si="9"/>
        <v>28</v>
      </c>
      <c r="AQ30" s="1"/>
      <c r="AR30" s="1"/>
      <c r="AS30">
        <v>30</v>
      </c>
      <c r="AT30" t="s">
        <v>678</v>
      </c>
      <c r="AU30" s="9" t="s">
        <v>555</v>
      </c>
      <c r="AV30" s="9" t="s">
        <v>555</v>
      </c>
      <c r="AW30" s="9" t="s">
        <v>692</v>
      </c>
      <c r="AX30" s="9" t="s">
        <v>683</v>
      </c>
      <c r="AY30" s="16" t="s">
        <v>683</v>
      </c>
      <c r="AZ30" s="9" t="s">
        <v>692</v>
      </c>
      <c r="BA30" s="9" t="s">
        <v>695</v>
      </c>
      <c r="BB30" s="9" t="s">
        <v>698</v>
      </c>
      <c r="BC30" s="9" t="s">
        <v>175</v>
      </c>
      <c r="BD30" s="9" t="s">
        <v>556</v>
      </c>
      <c r="BE30" s="9" t="s">
        <v>639</v>
      </c>
      <c r="BF30" s="9" t="s">
        <v>655</v>
      </c>
      <c r="BK30">
        <f t="shared" ca="1" si="11"/>
        <v>63</v>
      </c>
      <c r="BL30">
        <f t="shared" ca="1" si="11"/>
        <v>85</v>
      </c>
      <c r="BM30">
        <f t="shared" ca="1" si="11"/>
        <v>83</v>
      </c>
      <c r="BN30">
        <f t="shared" ca="1" si="11"/>
        <v>12</v>
      </c>
      <c r="BO30">
        <f t="shared" ca="1" si="11"/>
        <v>48</v>
      </c>
      <c r="BP30">
        <f t="shared" ca="1" si="11"/>
        <v>44</v>
      </c>
      <c r="BQ30">
        <f t="shared" ca="1" si="11"/>
        <v>41</v>
      </c>
      <c r="BR30">
        <f t="shared" ca="1" si="11"/>
        <v>40</v>
      </c>
      <c r="BS30">
        <f t="shared" ca="1" si="11"/>
        <v>13</v>
      </c>
      <c r="BT30">
        <f t="shared" ca="1" si="11"/>
        <v>39</v>
      </c>
      <c r="BU30">
        <f t="shared" ca="1" si="11"/>
        <v>27</v>
      </c>
      <c r="BV30">
        <f t="shared" ca="1" si="11"/>
        <v>57</v>
      </c>
    </row>
    <row r="31" spans="1:76" s="20" customFormat="1" x14ac:dyDescent="0.3">
      <c r="A31" s="49">
        <v>30</v>
      </c>
      <c r="B31" s="19" t="str">
        <f t="shared" ca="1" si="12"/>
        <v>Short</v>
      </c>
      <c r="C31" s="19" t="str">
        <f t="shared" ca="1" si="13"/>
        <v>+1</v>
      </c>
      <c r="D31" s="19">
        <f t="shared" ca="1" si="14"/>
        <v>0</v>
      </c>
      <c r="E31" s="19" t="str">
        <f t="shared" ca="1" si="15"/>
        <v>Nil</v>
      </c>
      <c r="F31" s="19" t="str">
        <f t="shared" ca="1" si="16"/>
        <v>Nil</v>
      </c>
      <c r="G31" s="19" t="str">
        <f ca="1">IF(AB31&lt;=VLOOKUP(D31,'power prob array'!$A:$M,2), VLOOKUP(Swords!BK31,Swords!$AS:$BB,10), "")</f>
        <v/>
      </c>
      <c r="H31" s="19" t="str">
        <f ca="1">IF(AC31&lt;=VLOOKUP(D31,'power prob array'!$A:$M,3), VLOOKUP(Swords!BL31,Swords!$AS:$BB,10), "")</f>
        <v/>
      </c>
      <c r="I31" s="19" t="str">
        <f ca="1">IF(AD31&lt;=VLOOKUP(D31,'power prob array'!$A:$M,4), VLOOKUP(Swords!BM31,Swords!$AS:$BB,10), "")</f>
        <v/>
      </c>
      <c r="J31" s="19" t="str">
        <f ca="1">IF(AE31&lt;=VLOOKUP(D31,'power prob array'!$A:$M,5), VLOOKUP(Swords!BN31,Swords!$AS:$BB,10), "")</f>
        <v/>
      </c>
      <c r="K31" s="19" t="str">
        <f ca="1">IF(AF31&lt;=VLOOKUP(D31,'power prob array'!$A:$M,6), VLOOKUP(Swords!BO31,Swords!$AS:$BB,10), "")</f>
        <v/>
      </c>
      <c r="L31" s="19" t="str">
        <f ca="1">IF(AG31&lt;=VLOOKUP(D31,'power prob array'!$A:$M,7), VLOOKUP(Swords!BP31,Swords!$AS:$BB,10), "")</f>
        <v/>
      </c>
      <c r="M31" s="19" t="str">
        <f t="shared" ca="1" si="17"/>
        <v>No</v>
      </c>
      <c r="N31" s="19" t="str">
        <f ca="1">IF(AI31&lt;=VLOOKUP(D31,'power prob array'!$A:$M,8), VLOOKUP(Swords!BQ31,Swords!$AS:$BC,11), "")</f>
        <v/>
      </c>
      <c r="O31" s="19" t="str">
        <f ca="1">IF(AJ31&lt;=VLOOKUP(D31,'power prob array'!$A:$M,9), VLOOKUP(Swords!BR31,Swords!$AS:$BC,11), "")</f>
        <v/>
      </c>
      <c r="P31" s="19" t="str">
        <f ca="1">IF(AK31&lt;=VLOOKUP(D31,'power prob array'!$A:$M,10), VLOOKUP(Swords!BS31,Swords!$AS:$BC,11), "")</f>
        <v/>
      </c>
      <c r="Q31" s="19" t="str">
        <f ca="1">IF(AL31&lt;=VLOOKUP(D31,'power prob array'!$A:$M,11), VLOOKUP(Swords!BT31,Swords!$AS:$BC,11), "")</f>
        <v/>
      </c>
      <c r="R31" s="19" t="str">
        <f ca="1">IF(AM31&lt;=VLOOKUP(D31,'power prob array'!$A:$M,12), VLOOKUP(Swords!BU31,Swords!$AS:$BC,11), "")</f>
        <v/>
      </c>
      <c r="S31" s="19" t="str">
        <f ca="1">IF(AN31&lt;=VLOOKUP(D31,'power prob array'!$A:$M,13), VLOOKUP(Swords!BV31,Swords!$AS:$BC,11), "")</f>
        <v/>
      </c>
      <c r="T31" s="18" t="str">
        <f t="shared" ca="1" si="8"/>
        <v>No</v>
      </c>
      <c r="U31" s="18" t="str" cm="1">
        <f t="array" aca="1" ref="U31" ca="1">_xlfn.IFS(T31="Talent", VLOOKUP(AP31,$AS:$BF,14), T31="No", "", 1=1, VLOOKUP(AP31,$AS:$BF,13))</f>
        <v/>
      </c>
      <c r="V31" s="1"/>
      <c r="W31" s="1"/>
      <c r="X31" s="1">
        <f t="shared" ca="1" si="10"/>
        <v>66</v>
      </c>
      <c r="Y31" s="1">
        <f t="shared" ca="1" si="10"/>
        <v>21</v>
      </c>
      <c r="Z31" s="1">
        <f t="shared" ca="1" si="10"/>
        <v>10</v>
      </c>
      <c r="AA31" s="1">
        <f t="shared" ca="1" si="10"/>
        <v>11</v>
      </c>
      <c r="AB31" s="1">
        <f t="shared" ca="1" si="10"/>
        <v>58</v>
      </c>
      <c r="AC31" s="1">
        <f t="shared" ca="1" si="10"/>
        <v>45</v>
      </c>
      <c r="AD31" s="1">
        <f t="shared" ca="1" si="10"/>
        <v>89</v>
      </c>
      <c r="AE31" s="1">
        <f t="shared" ca="1" si="10"/>
        <v>51</v>
      </c>
      <c r="AF31" s="1">
        <f t="shared" ca="1" si="10"/>
        <v>94</v>
      </c>
      <c r="AG31" s="1">
        <f t="shared" ca="1" si="10"/>
        <v>35</v>
      </c>
      <c r="AH31" s="1"/>
      <c r="AI31" s="1">
        <f t="shared" ca="1" si="10"/>
        <v>62</v>
      </c>
      <c r="AJ31" s="1">
        <f t="shared" ca="1" si="10"/>
        <v>55</v>
      </c>
      <c r="AK31" s="1">
        <f t="shared" ca="1" si="10"/>
        <v>10</v>
      </c>
      <c r="AL31" s="1">
        <f t="shared" ca="1" si="10"/>
        <v>25</v>
      </c>
      <c r="AM31" s="1">
        <f t="shared" ca="1" si="10"/>
        <v>37</v>
      </c>
      <c r="AN31" s="1">
        <f t="shared" ca="1" si="9"/>
        <v>64</v>
      </c>
      <c r="AO31" s="1">
        <f t="shared" ca="1" si="9"/>
        <v>51</v>
      </c>
      <c r="AP31" s="1">
        <f t="shared" ca="1" si="9"/>
        <v>93</v>
      </c>
      <c r="AQ31" s="1"/>
      <c r="AR31" s="1"/>
      <c r="AS31" s="20">
        <v>31</v>
      </c>
      <c r="AT31" s="20" t="s">
        <v>678</v>
      </c>
      <c r="AU31" s="21" t="s">
        <v>555</v>
      </c>
      <c r="AV31" s="21" t="s">
        <v>555</v>
      </c>
      <c r="AW31" s="21" t="s">
        <v>692</v>
      </c>
      <c r="AX31" s="21" t="s">
        <v>683</v>
      </c>
      <c r="AY31" s="22" t="s">
        <v>683</v>
      </c>
      <c r="AZ31" s="21" t="s">
        <v>692</v>
      </c>
      <c r="BA31" s="21" t="s">
        <v>695</v>
      </c>
      <c r="BB31" s="21" t="s">
        <v>698</v>
      </c>
      <c r="BC31" s="21" t="s">
        <v>713</v>
      </c>
      <c r="BD31" s="21" t="s">
        <v>556</v>
      </c>
      <c r="BE31" s="21" t="s">
        <v>639</v>
      </c>
      <c r="BF31" s="21" t="s">
        <v>655</v>
      </c>
      <c r="BK31" s="20">
        <f t="shared" ca="1" si="11"/>
        <v>37</v>
      </c>
      <c r="BL31" s="20">
        <f t="shared" ca="1" si="11"/>
        <v>52</v>
      </c>
      <c r="BM31" s="20">
        <f t="shared" ca="1" si="11"/>
        <v>63</v>
      </c>
      <c r="BN31" s="20">
        <f t="shared" ca="1" si="11"/>
        <v>8</v>
      </c>
      <c r="BO31" s="20">
        <f t="shared" ca="1" si="11"/>
        <v>15</v>
      </c>
      <c r="BP31" s="20">
        <f t="shared" ca="1" si="11"/>
        <v>40</v>
      </c>
      <c r="BQ31" s="20">
        <f t="shared" ca="1" si="11"/>
        <v>50</v>
      </c>
      <c r="BR31" s="20">
        <f t="shared" ca="1" si="11"/>
        <v>3</v>
      </c>
      <c r="BS31" s="20">
        <f t="shared" ca="1" si="11"/>
        <v>66</v>
      </c>
      <c r="BT31" s="20">
        <f t="shared" ca="1" si="11"/>
        <v>65</v>
      </c>
      <c r="BU31" s="20">
        <f t="shared" ca="1" si="11"/>
        <v>11</v>
      </c>
      <c r="BV31" s="20">
        <f t="shared" ca="1" si="11"/>
        <v>50</v>
      </c>
      <c r="BX31" s="23"/>
    </row>
    <row r="32" spans="1:76" x14ac:dyDescent="0.3">
      <c r="A32" s="49">
        <v>31</v>
      </c>
      <c r="B32" s="18" t="str">
        <f t="shared" ca="1" si="12"/>
        <v>Normal</v>
      </c>
      <c r="C32" s="18" t="str">
        <f t="shared" ca="1" si="13"/>
        <v>+1</v>
      </c>
      <c r="D32" s="18">
        <f t="shared" ca="1" si="14"/>
        <v>0</v>
      </c>
      <c r="E32" s="18" t="str">
        <f t="shared" ca="1" si="15"/>
        <v>Nil</v>
      </c>
      <c r="F32" s="18" t="str">
        <f t="shared" ca="1" si="16"/>
        <v>Nil</v>
      </c>
      <c r="G32" s="18" t="str">
        <f ca="1">IF(AB32&lt;=VLOOKUP(D32,'power prob array'!$A:$M,2), VLOOKUP(Swords!BK32,Swords!$AS:$BB,10), "")</f>
        <v/>
      </c>
      <c r="H32" s="18" t="str">
        <f ca="1">IF(AC32&lt;=VLOOKUP(D32,'power prob array'!$A:$M,3), VLOOKUP(Swords!BL32,Swords!$AS:$BB,10), "")</f>
        <v/>
      </c>
      <c r="I32" s="18" t="str">
        <f ca="1">IF(AD32&lt;=VLOOKUP(D32,'power prob array'!$A:$M,4), VLOOKUP(Swords!BM32,Swords!$AS:$BB,10), "")</f>
        <v/>
      </c>
      <c r="J32" s="18" t="str">
        <f ca="1">IF(AE32&lt;=VLOOKUP(D32,'power prob array'!$A:$M,5), VLOOKUP(Swords!BN32,Swords!$AS:$BB,10), "")</f>
        <v/>
      </c>
      <c r="K32" s="18" t="str">
        <f ca="1">IF(AF32&lt;=VLOOKUP(D32,'power prob array'!$A:$M,6), VLOOKUP(Swords!BO32,Swords!$AS:$BB,10), "")</f>
        <v/>
      </c>
      <c r="L32" s="18" t="str">
        <f ca="1">IF(AG32&lt;=VLOOKUP(D32,'power prob array'!$A:$M,7), VLOOKUP(Swords!BP32,Swords!$AS:$BB,10), "")</f>
        <v/>
      </c>
      <c r="M32" s="18" t="str">
        <f t="shared" ca="1" si="17"/>
        <v>No</v>
      </c>
      <c r="N32" s="18" t="str">
        <f ca="1">IF(AI32&lt;=VLOOKUP(D32,'power prob array'!$A:$M,8), VLOOKUP(Swords!BQ32,Swords!$AS:$BC,11), "")</f>
        <v/>
      </c>
      <c r="O32" s="18" t="str">
        <f ca="1">IF(AJ32&lt;=VLOOKUP(D32,'power prob array'!$A:$M,9), VLOOKUP(Swords!BR32,Swords!$AS:$BC,11), "")</f>
        <v/>
      </c>
      <c r="P32" s="18" t="str">
        <f ca="1">IF(AK32&lt;=VLOOKUP(D32,'power prob array'!$A:$M,10), VLOOKUP(Swords!BS32,Swords!$AS:$BC,11), "")</f>
        <v/>
      </c>
      <c r="Q32" s="18" t="str">
        <f ca="1">IF(AL32&lt;=VLOOKUP(D32,'power prob array'!$A:$M,11), VLOOKUP(Swords!BT32,Swords!$AS:$BC,11), "")</f>
        <v/>
      </c>
      <c r="R32" s="18" t="str">
        <f ca="1">IF(AM32&lt;=VLOOKUP(D32,'power prob array'!$A:$M,12), VLOOKUP(Swords!BU32,Swords!$AS:$BC,11), "")</f>
        <v/>
      </c>
      <c r="S32" s="18" t="str">
        <f ca="1">IF(AN32&lt;=VLOOKUP(D32,'power prob array'!$A:$M,13), VLOOKUP(Swords!BV32,Swords!$AS:$BC,11), "")</f>
        <v/>
      </c>
      <c r="T32" s="18" t="str">
        <f t="shared" ca="1" si="8"/>
        <v>No</v>
      </c>
      <c r="U32" s="18" t="str" cm="1">
        <f t="array" aca="1" ref="U32" ca="1">_xlfn.IFS(T32="Talent", VLOOKUP(AP32,$AS:$BF,14), T32="No", "", 1=1, VLOOKUP(AP32,$AS:$BF,13))</f>
        <v/>
      </c>
      <c r="V32" s="1"/>
      <c r="W32" s="1"/>
      <c r="X32" s="1">
        <f t="shared" ca="1" si="10"/>
        <v>26</v>
      </c>
      <c r="Y32" s="1">
        <f t="shared" ca="1" si="10"/>
        <v>31</v>
      </c>
      <c r="Z32" s="1">
        <f t="shared" ca="1" si="10"/>
        <v>31</v>
      </c>
      <c r="AA32" s="1">
        <f t="shared" ca="1" si="10"/>
        <v>19</v>
      </c>
      <c r="AB32" s="1">
        <f t="shared" ca="1" si="10"/>
        <v>96</v>
      </c>
      <c r="AC32" s="1">
        <f t="shared" ca="1" si="10"/>
        <v>69</v>
      </c>
      <c r="AD32" s="1">
        <f t="shared" ca="1" si="10"/>
        <v>53</v>
      </c>
      <c r="AE32" s="1">
        <f t="shared" ca="1" si="10"/>
        <v>66</v>
      </c>
      <c r="AF32" s="1">
        <f t="shared" ca="1" si="10"/>
        <v>81</v>
      </c>
      <c r="AG32" s="1">
        <f t="shared" ca="1" si="10"/>
        <v>37</v>
      </c>
      <c r="AH32" s="1"/>
      <c r="AI32" s="1">
        <f t="shared" ca="1" si="10"/>
        <v>92</v>
      </c>
      <c r="AJ32" s="1">
        <f t="shared" ca="1" si="10"/>
        <v>25</v>
      </c>
      <c r="AK32" s="1">
        <f t="shared" ca="1" si="10"/>
        <v>9</v>
      </c>
      <c r="AL32" s="1">
        <f t="shared" ca="1" si="10"/>
        <v>96</v>
      </c>
      <c r="AM32" s="1">
        <f t="shared" ca="1" si="10"/>
        <v>38</v>
      </c>
      <c r="AN32" s="1">
        <f t="shared" ref="AN32:AP32" ca="1" si="18">RANDBETWEEN(1,100)</f>
        <v>54</v>
      </c>
      <c r="AO32" s="1">
        <f t="shared" ca="1" si="18"/>
        <v>64</v>
      </c>
      <c r="AP32" s="1">
        <f t="shared" ca="1" si="18"/>
        <v>26</v>
      </c>
      <c r="AQ32" s="1"/>
      <c r="AR32" s="1"/>
      <c r="AS32">
        <v>32</v>
      </c>
      <c r="AT32" t="s">
        <v>678</v>
      </c>
      <c r="AU32" s="9" t="s">
        <v>555</v>
      </c>
      <c r="AV32" s="9" t="s">
        <v>555</v>
      </c>
      <c r="AW32" s="9" t="s">
        <v>692</v>
      </c>
      <c r="AX32" s="9" t="s">
        <v>683</v>
      </c>
      <c r="AY32" s="16" t="s">
        <v>683</v>
      </c>
      <c r="AZ32" s="9" t="s">
        <v>692</v>
      </c>
      <c r="BA32" s="9" t="s">
        <v>695</v>
      </c>
      <c r="BB32" s="9" t="s">
        <v>698</v>
      </c>
      <c r="BC32" s="9" t="s">
        <v>713</v>
      </c>
      <c r="BD32" s="9" t="s">
        <v>556</v>
      </c>
      <c r="BE32" s="9" t="s">
        <v>639</v>
      </c>
      <c r="BF32" s="9" t="s">
        <v>655</v>
      </c>
      <c r="BK32">
        <f t="shared" ca="1" si="11"/>
        <v>67</v>
      </c>
      <c r="BL32">
        <f t="shared" ca="1" si="11"/>
        <v>35</v>
      </c>
      <c r="BM32">
        <f t="shared" ca="1" si="11"/>
        <v>98</v>
      </c>
      <c r="BN32">
        <f t="shared" ca="1" si="11"/>
        <v>6</v>
      </c>
      <c r="BO32">
        <f t="shared" ca="1" si="11"/>
        <v>64</v>
      </c>
      <c r="BP32">
        <f t="shared" ca="1" si="11"/>
        <v>44</v>
      </c>
      <c r="BQ32">
        <f t="shared" ca="1" si="11"/>
        <v>74</v>
      </c>
      <c r="BR32">
        <f t="shared" ca="1" si="11"/>
        <v>81</v>
      </c>
      <c r="BS32">
        <f t="shared" ca="1" si="11"/>
        <v>35</v>
      </c>
      <c r="BT32">
        <f t="shared" ca="1" si="11"/>
        <v>81</v>
      </c>
      <c r="BU32">
        <f t="shared" ca="1" si="11"/>
        <v>83</v>
      </c>
      <c r="BV32">
        <f t="shared" ca="1" si="11"/>
        <v>51</v>
      </c>
    </row>
    <row r="33" spans="1:76" s="20" customFormat="1" x14ac:dyDescent="0.3">
      <c r="A33" s="49">
        <v>32</v>
      </c>
      <c r="B33" s="19" t="str">
        <f t="shared" ca="1" si="12"/>
        <v>Normal</v>
      </c>
      <c r="C33" s="19" t="str">
        <f t="shared" ca="1" si="13"/>
        <v>+1</v>
      </c>
      <c r="D33" s="19">
        <f t="shared" ca="1" si="14"/>
        <v>0</v>
      </c>
      <c r="E33" s="19" t="str">
        <f t="shared" ca="1" si="15"/>
        <v>Nil</v>
      </c>
      <c r="F33" s="19" t="str">
        <f t="shared" ca="1" si="16"/>
        <v>Nil</v>
      </c>
      <c r="G33" s="19" t="str">
        <f ca="1">IF(AB33&lt;=VLOOKUP(D33,'power prob array'!$A:$M,2), VLOOKUP(Swords!BK33,Swords!$AS:$BB,10), "")</f>
        <v/>
      </c>
      <c r="H33" s="19" t="str">
        <f ca="1">IF(AC33&lt;=VLOOKUP(D33,'power prob array'!$A:$M,3), VLOOKUP(Swords!BL33,Swords!$AS:$BB,10), "")</f>
        <v/>
      </c>
      <c r="I33" s="19" t="str">
        <f ca="1">IF(AD33&lt;=VLOOKUP(D33,'power prob array'!$A:$M,4), VLOOKUP(Swords!BM33,Swords!$AS:$BB,10), "")</f>
        <v/>
      </c>
      <c r="J33" s="19" t="str">
        <f ca="1">IF(AE33&lt;=VLOOKUP(D33,'power prob array'!$A:$M,5), VLOOKUP(Swords!BN33,Swords!$AS:$BB,10), "")</f>
        <v/>
      </c>
      <c r="K33" s="19" t="str">
        <f ca="1">IF(AF33&lt;=VLOOKUP(D33,'power prob array'!$A:$M,6), VLOOKUP(Swords!BO33,Swords!$AS:$BB,10), "")</f>
        <v/>
      </c>
      <c r="L33" s="19" t="str">
        <f ca="1">IF(AG33&lt;=VLOOKUP(D33,'power prob array'!$A:$M,7), VLOOKUP(Swords!BP33,Swords!$AS:$BB,10), "")</f>
        <v/>
      </c>
      <c r="M33" s="19" t="str">
        <f t="shared" ca="1" si="17"/>
        <v>No</v>
      </c>
      <c r="N33" s="19" t="str">
        <f ca="1">IF(AI33&lt;=VLOOKUP(D33,'power prob array'!$A:$M,8), VLOOKUP(Swords!BQ33,Swords!$AS:$BC,11), "")</f>
        <v/>
      </c>
      <c r="O33" s="19" t="str">
        <f ca="1">IF(AJ33&lt;=VLOOKUP(D33,'power prob array'!$A:$M,9), VLOOKUP(Swords!BR33,Swords!$AS:$BC,11), "")</f>
        <v/>
      </c>
      <c r="P33" s="19" t="str">
        <f ca="1">IF(AK33&lt;=VLOOKUP(D33,'power prob array'!$A:$M,10), VLOOKUP(Swords!BS33,Swords!$AS:$BC,11), "")</f>
        <v/>
      </c>
      <c r="Q33" s="19" t="str">
        <f ca="1">IF(AL33&lt;=VLOOKUP(D33,'power prob array'!$A:$M,11), VLOOKUP(Swords!BT33,Swords!$AS:$BC,11), "")</f>
        <v/>
      </c>
      <c r="R33" s="19" t="str">
        <f ca="1">IF(AM33&lt;=VLOOKUP(D33,'power prob array'!$A:$M,12), VLOOKUP(Swords!BU33,Swords!$AS:$BC,11), "")</f>
        <v/>
      </c>
      <c r="S33" s="19" t="str">
        <f ca="1">IF(AN33&lt;=VLOOKUP(D33,'power prob array'!$A:$M,13), VLOOKUP(Swords!BV33,Swords!$AS:$BC,11), "")</f>
        <v/>
      </c>
      <c r="T33" s="18" t="str">
        <f t="shared" ca="1" si="8"/>
        <v>+2</v>
      </c>
      <c r="U33" s="18" t="str" cm="1">
        <f t="array" aca="1" ref="U33" ca="1">_xlfn.IFS(T33="Talent", VLOOKUP(AP33,$AS:$BF,14), T33="No", "", 1=1, VLOOKUP(AP33,$AS:$BF,13))</f>
        <v>Lycanthropes</v>
      </c>
      <c r="V33" s="1"/>
      <c r="W33" s="1"/>
      <c r="X33" s="1">
        <f t="shared" ref="X33:AP47" ca="1" si="19">RANDBETWEEN(1,100)</f>
        <v>27</v>
      </c>
      <c r="Y33" s="1">
        <f t="shared" ca="1" si="19"/>
        <v>64</v>
      </c>
      <c r="Z33" s="1">
        <f t="shared" ca="1" si="19"/>
        <v>53</v>
      </c>
      <c r="AA33" s="1">
        <f t="shared" ca="1" si="19"/>
        <v>17</v>
      </c>
      <c r="AB33" s="1">
        <f t="shared" ca="1" si="19"/>
        <v>88</v>
      </c>
      <c r="AC33" s="1">
        <f t="shared" ca="1" si="19"/>
        <v>10</v>
      </c>
      <c r="AD33" s="1">
        <f t="shared" ca="1" si="19"/>
        <v>92</v>
      </c>
      <c r="AE33" s="1">
        <f t="shared" ca="1" si="19"/>
        <v>68</v>
      </c>
      <c r="AF33" s="1">
        <f t="shared" ca="1" si="19"/>
        <v>17</v>
      </c>
      <c r="AG33" s="1">
        <f t="shared" ca="1" si="19"/>
        <v>63</v>
      </c>
      <c r="AH33" s="1"/>
      <c r="AI33" s="1">
        <f t="shared" ca="1" si="19"/>
        <v>38</v>
      </c>
      <c r="AJ33" s="1">
        <f t="shared" ca="1" si="19"/>
        <v>51</v>
      </c>
      <c r="AK33" s="1">
        <f t="shared" ca="1" si="19"/>
        <v>86</v>
      </c>
      <c r="AL33" s="1">
        <f t="shared" ca="1" si="19"/>
        <v>7</v>
      </c>
      <c r="AM33" s="1">
        <f t="shared" ca="1" si="19"/>
        <v>79</v>
      </c>
      <c r="AN33" s="1">
        <f t="shared" ca="1" si="19"/>
        <v>95</v>
      </c>
      <c r="AO33" s="1">
        <f t="shared" ca="1" si="19"/>
        <v>29</v>
      </c>
      <c r="AP33" s="1">
        <f t="shared" ca="1" si="19"/>
        <v>43</v>
      </c>
      <c r="AQ33" s="1"/>
      <c r="AR33" s="1"/>
      <c r="AS33" s="20">
        <v>33</v>
      </c>
      <c r="AT33" s="20" t="s">
        <v>678</v>
      </c>
      <c r="AU33" s="21" t="s">
        <v>555</v>
      </c>
      <c r="AV33" s="21" t="s">
        <v>555</v>
      </c>
      <c r="AW33" s="21" t="s">
        <v>692</v>
      </c>
      <c r="AX33" s="21" t="s">
        <v>683</v>
      </c>
      <c r="AY33" s="22" t="s">
        <v>683</v>
      </c>
      <c r="AZ33" s="21" t="s">
        <v>692</v>
      </c>
      <c r="BA33" s="21" t="s">
        <v>695</v>
      </c>
      <c r="BB33" s="21" t="s">
        <v>698</v>
      </c>
      <c r="BC33" s="21" t="s">
        <v>713</v>
      </c>
      <c r="BD33" s="21" t="s">
        <v>556</v>
      </c>
      <c r="BE33" s="21" t="s">
        <v>639</v>
      </c>
      <c r="BF33" s="21" t="s">
        <v>656</v>
      </c>
      <c r="BK33" s="20">
        <f t="shared" ca="1" si="11"/>
        <v>84</v>
      </c>
      <c r="BL33" s="20">
        <f t="shared" ca="1" si="11"/>
        <v>45</v>
      </c>
      <c r="BM33" s="20">
        <f t="shared" ca="1" si="11"/>
        <v>71</v>
      </c>
      <c r="BN33" s="20">
        <f t="shared" ca="1" si="11"/>
        <v>45</v>
      </c>
      <c r="BO33" s="20">
        <f t="shared" ca="1" si="11"/>
        <v>30</v>
      </c>
      <c r="BP33" s="20">
        <f t="shared" ca="1" si="11"/>
        <v>8</v>
      </c>
      <c r="BQ33" s="20">
        <f t="shared" ca="1" si="11"/>
        <v>93</v>
      </c>
      <c r="BR33" s="20">
        <f t="shared" ca="1" si="11"/>
        <v>86</v>
      </c>
      <c r="BS33" s="20">
        <f t="shared" ca="1" si="11"/>
        <v>74</v>
      </c>
      <c r="BT33" s="20">
        <f t="shared" ca="1" si="11"/>
        <v>34</v>
      </c>
      <c r="BU33" s="20">
        <f t="shared" ca="1" si="11"/>
        <v>60</v>
      </c>
      <c r="BV33" s="20">
        <f t="shared" ca="1" si="11"/>
        <v>83</v>
      </c>
      <c r="BX33" s="23"/>
    </row>
    <row r="34" spans="1:76" x14ac:dyDescent="0.3">
      <c r="A34" s="49">
        <v>33</v>
      </c>
      <c r="B34" s="18" t="str">
        <f t="shared" ca="1" si="12"/>
        <v>Short</v>
      </c>
      <c r="C34" s="18" t="str">
        <f t="shared" ca="1" si="13"/>
        <v>+1</v>
      </c>
      <c r="D34" s="18">
        <f t="shared" ca="1" si="14"/>
        <v>9</v>
      </c>
      <c r="E34" s="18" t="str">
        <f t="shared" ca="1" si="15"/>
        <v>Empathy</v>
      </c>
      <c r="F34" s="18" t="str">
        <f t="shared" ca="1" si="16"/>
        <v>Nil</v>
      </c>
      <c r="G34" s="18" t="str">
        <f ca="1">IF(AB34&lt;=VLOOKUP(D34,'power prob array'!$A:$M,2), VLOOKUP(Swords!BK34,Swords!$AS:$BB,10), "")</f>
        <v>Detect Shifting Walls and Rooms</v>
      </c>
      <c r="H34" s="18" t="str">
        <f ca="1">IF(AC34&lt;=VLOOKUP(D34,'power prob array'!$A:$M,3), VLOOKUP(Swords!BL34,Swords!$AS:$BB,10), "")</f>
        <v>Detect Shifting Walls and Rooms</v>
      </c>
      <c r="I34" s="18" t="str">
        <f ca="1">IF(AD34&lt;=VLOOKUP(D34,'power prob array'!$A:$M,4), VLOOKUP(Swords!BM34,Swords!$AS:$BB,10), "")</f>
        <v>Detect Shifting Walls and Rooms</v>
      </c>
      <c r="J34" s="18" t="str">
        <f ca="1">IF(AE34&lt;=VLOOKUP(D34,'power prob array'!$A:$M,5), VLOOKUP(Swords!BN34,Swords!$AS:$BB,10), "")</f>
        <v/>
      </c>
      <c r="K34" s="18" t="str">
        <f ca="1">IF(AF34&lt;=VLOOKUP(D34,'power prob array'!$A:$M,6), VLOOKUP(Swords!BO34,Swords!$AS:$BB,10), "")</f>
        <v/>
      </c>
      <c r="L34" s="18" t="str">
        <f ca="1">IF(AG34&lt;=VLOOKUP(D34,'power prob array'!$A:$M,7), VLOOKUP(Swords!BP34,Swords!$AS:$BB,10), "")</f>
        <v/>
      </c>
      <c r="M34" s="18" t="str">
        <f t="shared" ca="1" si="17"/>
        <v>No</v>
      </c>
      <c r="N34" s="18" t="str">
        <f ca="1">IF(AI34&lt;=VLOOKUP(D34,'power prob array'!$A:$M,8), VLOOKUP(Swords!BQ34,Swords!$AS:$BC,11), "")</f>
        <v/>
      </c>
      <c r="O34" s="18" t="str">
        <f ca="1">IF(AJ34&lt;=VLOOKUP(D34,'power prob array'!$A:$M,9), VLOOKUP(Swords!BR34,Swords!$AS:$BC,11), "")</f>
        <v/>
      </c>
      <c r="P34" s="18" t="str">
        <f ca="1">IF(AK34&lt;=VLOOKUP(D34,'power prob array'!$A:$M,10), VLOOKUP(Swords!BS34,Swords!$AS:$BC,11), "")</f>
        <v/>
      </c>
      <c r="Q34" s="18" t="str">
        <f ca="1">IF(AL34&lt;=VLOOKUP(D34,'power prob array'!$A:$M,11), VLOOKUP(Swords!BT34,Swords!$AS:$BC,11), "")</f>
        <v/>
      </c>
      <c r="R34" s="18" t="str">
        <f ca="1">IF(AM34&lt;=VLOOKUP(D34,'power prob array'!$A:$M,12), VLOOKUP(Swords!BU34,Swords!$AS:$BC,11), "")</f>
        <v/>
      </c>
      <c r="S34" s="18" t="str">
        <f ca="1">IF(AN34&lt;=VLOOKUP(D34,'power prob array'!$A:$M,13), VLOOKUP(Swords!BV34,Swords!$AS:$BC,11), "")</f>
        <v/>
      </c>
      <c r="T34" s="18" t="str">
        <f t="shared" ca="1" si="8"/>
        <v>No</v>
      </c>
      <c r="U34" s="18" t="str" cm="1">
        <f t="array" aca="1" ref="U34" ca="1">_xlfn.IFS(T34="Talent", VLOOKUP(AP34,$AS:$BF,14), T34="No", "", 1=1, VLOOKUP(AP34,$AS:$BF,13))</f>
        <v/>
      </c>
      <c r="V34" s="1"/>
      <c r="W34" s="1"/>
      <c r="X34" s="1">
        <f t="shared" ca="1" si="19"/>
        <v>70</v>
      </c>
      <c r="Y34" s="1">
        <f t="shared" ca="1" si="19"/>
        <v>5</v>
      </c>
      <c r="Z34" s="1">
        <f t="shared" ca="1" si="19"/>
        <v>9</v>
      </c>
      <c r="AA34" s="1">
        <f t="shared" ca="1" si="19"/>
        <v>93</v>
      </c>
      <c r="AB34" s="1">
        <f t="shared" ca="1" si="19"/>
        <v>11</v>
      </c>
      <c r="AC34" s="1">
        <f t="shared" ca="1" si="19"/>
        <v>96</v>
      </c>
      <c r="AD34" s="1">
        <f t="shared" ca="1" si="19"/>
        <v>34</v>
      </c>
      <c r="AE34" s="1">
        <f t="shared" ca="1" si="19"/>
        <v>8</v>
      </c>
      <c r="AF34" s="1">
        <f t="shared" ca="1" si="19"/>
        <v>32</v>
      </c>
      <c r="AG34" s="1">
        <f t="shared" ca="1" si="19"/>
        <v>4</v>
      </c>
      <c r="AH34" s="1"/>
      <c r="AI34" s="1">
        <f t="shared" ca="1" si="19"/>
        <v>88</v>
      </c>
      <c r="AJ34" s="1">
        <f t="shared" ca="1" si="19"/>
        <v>42</v>
      </c>
      <c r="AK34" s="1">
        <f t="shared" ca="1" si="19"/>
        <v>68</v>
      </c>
      <c r="AL34" s="1">
        <f t="shared" ca="1" si="19"/>
        <v>86</v>
      </c>
      <c r="AM34" s="1">
        <f t="shared" ca="1" si="19"/>
        <v>73</v>
      </c>
      <c r="AN34" s="1">
        <f t="shared" ca="1" si="19"/>
        <v>28</v>
      </c>
      <c r="AO34" s="1">
        <f t="shared" ca="1" si="19"/>
        <v>73</v>
      </c>
      <c r="AP34" s="1">
        <f t="shared" ca="1" si="19"/>
        <v>84</v>
      </c>
      <c r="AQ34" s="1"/>
      <c r="AR34" s="1"/>
      <c r="AS34">
        <v>34</v>
      </c>
      <c r="AT34" t="s">
        <v>678</v>
      </c>
      <c r="AU34" s="9" t="s">
        <v>555</v>
      </c>
      <c r="AV34" s="9" t="s">
        <v>555</v>
      </c>
      <c r="AW34" s="9" t="s">
        <v>692</v>
      </c>
      <c r="AX34" s="9" t="s">
        <v>683</v>
      </c>
      <c r="AY34" s="16" t="s">
        <v>683</v>
      </c>
      <c r="AZ34" s="9" t="s">
        <v>692</v>
      </c>
      <c r="BA34" s="9" t="s">
        <v>695</v>
      </c>
      <c r="BB34" s="9" t="s">
        <v>698</v>
      </c>
      <c r="BC34" s="9" t="s">
        <v>713</v>
      </c>
      <c r="BD34" s="9" t="s">
        <v>556</v>
      </c>
      <c r="BE34" s="9" t="s">
        <v>639</v>
      </c>
      <c r="BF34" s="9" t="s">
        <v>656</v>
      </c>
      <c r="BK34">
        <f t="shared" ca="1" si="11"/>
        <v>46</v>
      </c>
      <c r="BL34">
        <f t="shared" ca="1" si="11"/>
        <v>37</v>
      </c>
      <c r="BM34">
        <f t="shared" ca="1" si="11"/>
        <v>48</v>
      </c>
      <c r="BN34">
        <f t="shared" ca="1" si="11"/>
        <v>96</v>
      </c>
      <c r="BO34">
        <f t="shared" ca="1" si="11"/>
        <v>73</v>
      </c>
      <c r="BP34">
        <f t="shared" ca="1" si="11"/>
        <v>16</v>
      </c>
      <c r="BQ34">
        <f t="shared" ca="1" si="11"/>
        <v>23</v>
      </c>
      <c r="BR34">
        <f t="shared" ca="1" si="11"/>
        <v>50</v>
      </c>
      <c r="BS34">
        <f t="shared" ca="1" si="11"/>
        <v>49</v>
      </c>
      <c r="BT34">
        <f t="shared" ca="1" si="11"/>
        <v>100</v>
      </c>
      <c r="BU34">
        <f t="shared" ca="1" si="11"/>
        <v>14</v>
      </c>
      <c r="BV34">
        <f t="shared" ca="1" si="11"/>
        <v>86</v>
      </c>
    </row>
    <row r="35" spans="1:76" s="20" customFormat="1" x14ac:dyDescent="0.3">
      <c r="A35" s="49">
        <v>34</v>
      </c>
      <c r="B35" s="19" t="str">
        <f t="shared" ca="1" si="12"/>
        <v>Normal</v>
      </c>
      <c r="C35" s="19" t="str">
        <f t="shared" ca="1" si="13"/>
        <v>+1</v>
      </c>
      <c r="D35" s="19">
        <f t="shared" ca="1" si="14"/>
        <v>0</v>
      </c>
      <c r="E35" s="19" t="str">
        <f t="shared" ca="1" si="15"/>
        <v>Nil</v>
      </c>
      <c r="F35" s="19" t="str">
        <f t="shared" ca="1" si="16"/>
        <v>Nil</v>
      </c>
      <c r="G35" s="19" t="str">
        <f ca="1">IF(AB35&lt;=VLOOKUP(D35,'power prob array'!$A:$M,2), VLOOKUP(Swords!BK35,Swords!$AS:$BB,10), "")</f>
        <v/>
      </c>
      <c r="H35" s="19" t="str">
        <f ca="1">IF(AC35&lt;=VLOOKUP(D35,'power prob array'!$A:$M,3), VLOOKUP(Swords!BL35,Swords!$AS:$BB,10), "")</f>
        <v/>
      </c>
      <c r="I35" s="19" t="str">
        <f ca="1">IF(AD35&lt;=VLOOKUP(D35,'power prob array'!$A:$M,4), VLOOKUP(Swords!BM35,Swords!$AS:$BB,10), "")</f>
        <v/>
      </c>
      <c r="J35" s="19" t="str">
        <f ca="1">IF(AE35&lt;=VLOOKUP(D35,'power prob array'!$A:$M,5), VLOOKUP(Swords!BN35,Swords!$AS:$BB,10), "")</f>
        <v/>
      </c>
      <c r="K35" s="19" t="str">
        <f ca="1">IF(AF35&lt;=VLOOKUP(D35,'power prob array'!$A:$M,6), VLOOKUP(Swords!BO35,Swords!$AS:$BB,10), "")</f>
        <v/>
      </c>
      <c r="L35" s="19" t="str">
        <f ca="1">IF(AG35&lt;=VLOOKUP(D35,'power prob array'!$A:$M,7), VLOOKUP(Swords!BP35,Swords!$AS:$BB,10), "")</f>
        <v/>
      </c>
      <c r="M35" s="19" t="str">
        <f t="shared" ca="1" si="17"/>
        <v>No</v>
      </c>
      <c r="N35" s="19" t="str">
        <f ca="1">IF(AI35&lt;=VLOOKUP(D35,'power prob array'!$A:$M,8), VLOOKUP(Swords!BQ35,Swords!$AS:$BC,11), "")</f>
        <v/>
      </c>
      <c r="O35" s="19" t="str">
        <f ca="1">IF(AJ35&lt;=VLOOKUP(D35,'power prob array'!$A:$M,9), VLOOKUP(Swords!BR35,Swords!$AS:$BC,11), "")</f>
        <v/>
      </c>
      <c r="P35" s="19" t="str">
        <f ca="1">IF(AK35&lt;=VLOOKUP(D35,'power prob array'!$A:$M,10), VLOOKUP(Swords!BS35,Swords!$AS:$BC,11), "")</f>
        <v/>
      </c>
      <c r="Q35" s="19" t="str">
        <f ca="1">IF(AL35&lt;=VLOOKUP(D35,'power prob array'!$A:$M,11), VLOOKUP(Swords!BT35,Swords!$AS:$BC,11), "")</f>
        <v/>
      </c>
      <c r="R35" s="19" t="str">
        <f ca="1">IF(AM35&lt;=VLOOKUP(D35,'power prob array'!$A:$M,12), VLOOKUP(Swords!BU35,Swords!$AS:$BC,11), "")</f>
        <v/>
      </c>
      <c r="S35" s="19" t="str">
        <f ca="1">IF(AN35&lt;=VLOOKUP(D35,'power prob array'!$A:$M,13), VLOOKUP(Swords!BV35,Swords!$AS:$BC,11), "")</f>
        <v/>
      </c>
      <c r="T35" s="18" t="str">
        <f t="shared" ca="1" si="8"/>
        <v>No</v>
      </c>
      <c r="U35" s="18" t="str" cm="1">
        <f t="array" aca="1" ref="U35" ca="1">_xlfn.IFS(T35="Talent", VLOOKUP(AP35,$AS:$BF,14), T35="No", "", 1=1, VLOOKUP(AP35,$AS:$BF,13))</f>
        <v/>
      </c>
      <c r="V35" s="1"/>
      <c r="W35" s="1"/>
      <c r="X35" s="1">
        <f t="shared" ca="1" si="19"/>
        <v>42</v>
      </c>
      <c r="Y35" s="1">
        <f t="shared" ca="1" si="19"/>
        <v>48</v>
      </c>
      <c r="Z35" s="1">
        <f t="shared" ca="1" si="19"/>
        <v>44</v>
      </c>
      <c r="AA35" s="1">
        <f t="shared" ca="1" si="19"/>
        <v>38</v>
      </c>
      <c r="AB35" s="1">
        <f t="shared" ca="1" si="19"/>
        <v>17</v>
      </c>
      <c r="AC35" s="1">
        <f t="shared" ca="1" si="19"/>
        <v>52</v>
      </c>
      <c r="AD35" s="1">
        <f t="shared" ca="1" si="19"/>
        <v>33</v>
      </c>
      <c r="AE35" s="1">
        <f t="shared" ca="1" si="19"/>
        <v>3</v>
      </c>
      <c r="AF35" s="1">
        <f t="shared" ca="1" si="19"/>
        <v>52</v>
      </c>
      <c r="AG35" s="1">
        <f t="shared" ca="1" si="19"/>
        <v>79</v>
      </c>
      <c r="AH35" s="1"/>
      <c r="AI35" s="1">
        <f t="shared" ca="1" si="19"/>
        <v>34</v>
      </c>
      <c r="AJ35" s="1">
        <f t="shared" ca="1" si="19"/>
        <v>46</v>
      </c>
      <c r="AK35" s="1">
        <f t="shared" ca="1" si="19"/>
        <v>59</v>
      </c>
      <c r="AL35" s="1">
        <f t="shared" ca="1" si="19"/>
        <v>6</v>
      </c>
      <c r="AM35" s="1">
        <f t="shared" ca="1" si="19"/>
        <v>14</v>
      </c>
      <c r="AN35" s="1">
        <f t="shared" ca="1" si="19"/>
        <v>87</v>
      </c>
      <c r="AO35" s="1">
        <f t="shared" ca="1" si="19"/>
        <v>65</v>
      </c>
      <c r="AP35" s="1">
        <f t="shared" ca="1" si="19"/>
        <v>2</v>
      </c>
      <c r="AQ35" s="1"/>
      <c r="AR35" s="1"/>
      <c r="AS35" s="20">
        <v>35</v>
      </c>
      <c r="AT35" s="20" t="s">
        <v>678</v>
      </c>
      <c r="AU35" s="21" t="s">
        <v>555</v>
      </c>
      <c r="AV35" s="21" t="s">
        <v>555</v>
      </c>
      <c r="AW35" s="21" t="s">
        <v>692</v>
      </c>
      <c r="AX35" s="21" t="s">
        <v>683</v>
      </c>
      <c r="AY35" s="22" t="s">
        <v>683</v>
      </c>
      <c r="AZ35" s="21" t="s">
        <v>692</v>
      </c>
      <c r="BA35" s="21" t="s">
        <v>695</v>
      </c>
      <c r="BB35" s="21" t="s">
        <v>698</v>
      </c>
      <c r="BC35" s="21" t="s">
        <v>713</v>
      </c>
      <c r="BD35" s="21" t="s">
        <v>556</v>
      </c>
      <c r="BE35" s="21" t="s">
        <v>639</v>
      </c>
      <c r="BF35" s="21" t="s">
        <v>656</v>
      </c>
      <c r="BK35" s="20">
        <f t="shared" ca="1" si="11"/>
        <v>25</v>
      </c>
      <c r="BL35" s="20">
        <f t="shared" ca="1" si="11"/>
        <v>51</v>
      </c>
      <c r="BM35" s="20">
        <f t="shared" ca="1" si="11"/>
        <v>77</v>
      </c>
      <c r="BN35" s="20">
        <f t="shared" ca="1" si="11"/>
        <v>70</v>
      </c>
      <c r="BO35" s="20">
        <f t="shared" ca="1" si="11"/>
        <v>7</v>
      </c>
      <c r="BP35" s="20">
        <f t="shared" ca="1" si="11"/>
        <v>77</v>
      </c>
      <c r="BQ35" s="20">
        <f t="shared" ca="1" si="11"/>
        <v>41</v>
      </c>
      <c r="BR35" s="20">
        <f t="shared" ca="1" si="11"/>
        <v>24</v>
      </c>
      <c r="BS35" s="20">
        <f t="shared" ca="1" si="11"/>
        <v>7</v>
      </c>
      <c r="BT35" s="20">
        <f t="shared" ca="1" si="11"/>
        <v>9</v>
      </c>
      <c r="BU35" s="20">
        <f t="shared" ca="1" si="11"/>
        <v>73</v>
      </c>
      <c r="BV35" s="20">
        <f t="shared" ca="1" si="11"/>
        <v>58</v>
      </c>
      <c r="BX35" s="23"/>
    </row>
    <row r="36" spans="1:76" x14ac:dyDescent="0.3">
      <c r="A36" s="49">
        <v>35</v>
      </c>
      <c r="B36" s="18" t="str">
        <f t="shared" ca="1" si="12"/>
        <v>Two-handed</v>
      </c>
      <c r="C36" s="18" t="str">
        <f t="shared" ca="1" si="13"/>
        <v>+2</v>
      </c>
      <c r="D36" s="18">
        <f t="shared" ca="1" si="14"/>
        <v>0</v>
      </c>
      <c r="E36" s="18" t="str">
        <f t="shared" ca="1" si="15"/>
        <v>Nil</v>
      </c>
      <c r="F36" s="18" t="str">
        <f t="shared" ca="1" si="16"/>
        <v>Nil</v>
      </c>
      <c r="G36" s="18" t="str">
        <f ca="1">IF(AB36&lt;=VLOOKUP(D36,'power prob array'!$A:$M,2), VLOOKUP(Swords!BK36,Swords!$AS:$BB,10), "")</f>
        <v/>
      </c>
      <c r="H36" s="18" t="str">
        <f ca="1">IF(AC36&lt;=VLOOKUP(D36,'power prob array'!$A:$M,3), VLOOKUP(Swords!BL36,Swords!$AS:$BB,10), "")</f>
        <v/>
      </c>
      <c r="I36" s="18" t="str">
        <f ca="1">IF(AD36&lt;=VLOOKUP(D36,'power prob array'!$A:$M,4), VLOOKUP(Swords!BM36,Swords!$AS:$BB,10), "")</f>
        <v/>
      </c>
      <c r="J36" s="18" t="str">
        <f ca="1">IF(AE36&lt;=VLOOKUP(D36,'power prob array'!$A:$M,5), VLOOKUP(Swords!BN36,Swords!$AS:$BB,10), "")</f>
        <v/>
      </c>
      <c r="K36" s="18" t="str">
        <f ca="1">IF(AF36&lt;=VLOOKUP(D36,'power prob array'!$A:$M,6), VLOOKUP(Swords!BO36,Swords!$AS:$BB,10), "")</f>
        <v/>
      </c>
      <c r="L36" s="18" t="str">
        <f ca="1">IF(AG36&lt;=VLOOKUP(D36,'power prob array'!$A:$M,7), VLOOKUP(Swords!BP36,Swords!$AS:$BB,10), "")</f>
        <v/>
      </c>
      <c r="M36" s="18" t="str">
        <f t="shared" ca="1" si="17"/>
        <v>No</v>
      </c>
      <c r="N36" s="18" t="str">
        <f ca="1">IF(AI36&lt;=VLOOKUP(D36,'power prob array'!$A:$M,8), VLOOKUP(Swords!BQ36,Swords!$AS:$BC,11), "")</f>
        <v/>
      </c>
      <c r="O36" s="18" t="str">
        <f ca="1">IF(AJ36&lt;=VLOOKUP(D36,'power prob array'!$A:$M,9), VLOOKUP(Swords!BR36,Swords!$AS:$BC,11), "")</f>
        <v/>
      </c>
      <c r="P36" s="18" t="str">
        <f ca="1">IF(AK36&lt;=VLOOKUP(D36,'power prob array'!$A:$M,10), VLOOKUP(Swords!BS36,Swords!$AS:$BC,11), "")</f>
        <v/>
      </c>
      <c r="Q36" s="18" t="str">
        <f ca="1">IF(AL36&lt;=VLOOKUP(D36,'power prob array'!$A:$M,11), VLOOKUP(Swords!BT36,Swords!$AS:$BC,11), "")</f>
        <v/>
      </c>
      <c r="R36" s="18" t="str">
        <f ca="1">IF(AM36&lt;=VLOOKUP(D36,'power prob array'!$A:$M,12), VLOOKUP(Swords!BU36,Swords!$AS:$BC,11), "")</f>
        <v/>
      </c>
      <c r="S36" s="18" t="str">
        <f ca="1">IF(AN36&lt;=VLOOKUP(D36,'power prob array'!$A:$M,13), VLOOKUP(Swords!BV36,Swords!$AS:$BC,11), "")</f>
        <v/>
      </c>
      <c r="T36" s="18" t="str">
        <f t="shared" ca="1" si="8"/>
        <v>+2</v>
      </c>
      <c r="U36" s="18" t="str" cm="1">
        <f t="array" aca="1" ref="U36" ca="1">_xlfn.IFS(T36="Talent", VLOOKUP(AP36,$AS:$BF,14), T36="No", "", 1=1, VLOOKUP(AP36,$AS:$BF,13))</f>
        <v>Giantkind</v>
      </c>
      <c r="V36" s="1"/>
      <c r="W36" s="1"/>
      <c r="X36" s="1">
        <f t="shared" ca="1" si="19"/>
        <v>87</v>
      </c>
      <c r="Y36" s="1">
        <f t="shared" ca="1" si="19"/>
        <v>87</v>
      </c>
      <c r="Z36" s="1">
        <f t="shared" ca="1" si="19"/>
        <v>79</v>
      </c>
      <c r="AA36" s="1">
        <f t="shared" ca="1" si="19"/>
        <v>75</v>
      </c>
      <c r="AB36" s="1">
        <f t="shared" ca="1" si="19"/>
        <v>55</v>
      </c>
      <c r="AC36" s="1">
        <f t="shared" ca="1" si="19"/>
        <v>41</v>
      </c>
      <c r="AD36" s="1">
        <f t="shared" ca="1" si="19"/>
        <v>28</v>
      </c>
      <c r="AE36" s="1">
        <f t="shared" ca="1" si="19"/>
        <v>63</v>
      </c>
      <c r="AF36" s="1">
        <f t="shared" ca="1" si="19"/>
        <v>32</v>
      </c>
      <c r="AG36" s="1">
        <f t="shared" ca="1" si="19"/>
        <v>32</v>
      </c>
      <c r="AH36" s="1"/>
      <c r="AI36" s="1">
        <f t="shared" ca="1" si="19"/>
        <v>79</v>
      </c>
      <c r="AJ36" s="1">
        <f t="shared" ca="1" si="19"/>
        <v>31</v>
      </c>
      <c r="AK36" s="1">
        <f t="shared" ca="1" si="19"/>
        <v>92</v>
      </c>
      <c r="AL36" s="1">
        <f t="shared" ca="1" si="19"/>
        <v>48</v>
      </c>
      <c r="AM36" s="1">
        <f t="shared" ca="1" si="19"/>
        <v>22</v>
      </c>
      <c r="AN36" s="1">
        <f t="shared" ca="1" si="19"/>
        <v>1</v>
      </c>
      <c r="AO36" s="1">
        <f t="shared" ca="1" si="19"/>
        <v>10</v>
      </c>
      <c r="AP36" s="1">
        <f t="shared" ca="1" si="19"/>
        <v>35</v>
      </c>
      <c r="AQ36" s="1"/>
      <c r="AR36" s="1"/>
      <c r="AS36">
        <v>36</v>
      </c>
      <c r="AT36" t="s">
        <v>678</v>
      </c>
      <c r="AU36" s="9" t="s">
        <v>555</v>
      </c>
      <c r="AV36" s="9" t="s">
        <v>555</v>
      </c>
      <c r="AW36" s="9" t="s">
        <v>692</v>
      </c>
      <c r="AX36" s="9" t="s">
        <v>683</v>
      </c>
      <c r="AY36" s="16" t="s">
        <v>683</v>
      </c>
      <c r="AZ36" s="9" t="s">
        <v>692</v>
      </c>
      <c r="BA36" s="9" t="s">
        <v>695</v>
      </c>
      <c r="BB36" s="9" t="s">
        <v>699</v>
      </c>
      <c r="BC36" s="9" t="s">
        <v>178</v>
      </c>
      <c r="BD36" s="9" t="s">
        <v>556</v>
      </c>
      <c r="BE36" s="9" t="s">
        <v>639</v>
      </c>
      <c r="BF36" s="9" t="s">
        <v>656</v>
      </c>
      <c r="BK36">
        <f t="shared" ref="BK36:BV51" ca="1" si="20">RANDBETWEEN(1,100)</f>
        <v>4</v>
      </c>
      <c r="BL36">
        <f t="shared" ca="1" si="20"/>
        <v>7</v>
      </c>
      <c r="BM36">
        <f t="shared" ca="1" si="20"/>
        <v>3</v>
      </c>
      <c r="BN36">
        <f t="shared" ca="1" si="20"/>
        <v>2</v>
      </c>
      <c r="BO36">
        <f t="shared" ca="1" si="20"/>
        <v>51</v>
      </c>
      <c r="BP36">
        <f t="shared" ca="1" si="20"/>
        <v>72</v>
      </c>
      <c r="BQ36">
        <f t="shared" ca="1" si="20"/>
        <v>65</v>
      </c>
      <c r="BR36">
        <f t="shared" ca="1" si="20"/>
        <v>66</v>
      </c>
      <c r="BS36">
        <f t="shared" ca="1" si="20"/>
        <v>55</v>
      </c>
      <c r="BT36">
        <f t="shared" ca="1" si="20"/>
        <v>39</v>
      </c>
      <c r="BU36">
        <f t="shared" ca="1" si="20"/>
        <v>99</v>
      </c>
      <c r="BV36">
        <f t="shared" ca="1" si="20"/>
        <v>67</v>
      </c>
    </row>
    <row r="37" spans="1:76" s="20" customFormat="1" x14ac:dyDescent="0.3">
      <c r="A37" s="49">
        <v>36</v>
      </c>
      <c r="B37" s="19" t="str">
        <f t="shared" ca="1" si="12"/>
        <v>Normal</v>
      </c>
      <c r="C37" s="19" t="str">
        <f t="shared" ca="1" si="13"/>
        <v>+1</v>
      </c>
      <c r="D37" s="19">
        <f t="shared" ca="1" si="14"/>
        <v>8</v>
      </c>
      <c r="E37" s="19" t="str">
        <f t="shared" ca="1" si="15"/>
        <v>Empathy</v>
      </c>
      <c r="F37" s="19" t="str">
        <f t="shared" ca="1" si="16"/>
        <v>Nil</v>
      </c>
      <c r="G37" s="19" t="str">
        <f ca="1">IF(AB37&lt;=VLOOKUP(D37,'power prob array'!$A:$M,2), VLOOKUP(Swords!BK37,Swords!$AS:$BB,10), "")</f>
        <v>Find Secret Doors</v>
      </c>
      <c r="H37" s="19" t="str">
        <f ca="1">IF(AC37&lt;=VLOOKUP(D37,'power prob array'!$A:$M,3), VLOOKUP(Swords!BL37,Swords!$AS:$BB,10), "")</f>
        <v>Detect Sloping Passages</v>
      </c>
      <c r="I37" s="19" t="str">
        <f ca="1">IF(AD37&lt;=VLOOKUP(D37,'power prob array'!$A:$M,4), VLOOKUP(Swords!BM37,Swords!$AS:$BB,10), "")</f>
        <v/>
      </c>
      <c r="J37" s="19" t="str">
        <f ca="1">IF(AE37&lt;=VLOOKUP(D37,'power prob array'!$A:$M,5), VLOOKUP(Swords!BN37,Swords!$AS:$BB,10), "")</f>
        <v/>
      </c>
      <c r="K37" s="19" t="str">
        <f ca="1">IF(AF37&lt;=VLOOKUP(D37,'power prob array'!$A:$M,6), VLOOKUP(Swords!BO37,Swords!$AS:$BB,10), "")</f>
        <v/>
      </c>
      <c r="L37" s="19" t="str">
        <f ca="1">IF(AG37&lt;=VLOOKUP(D37,'power prob array'!$A:$M,7), VLOOKUP(Swords!BP37,Swords!$AS:$BB,10), "")</f>
        <v/>
      </c>
      <c r="M37" s="19" t="str">
        <f t="shared" ca="1" si="17"/>
        <v>No</v>
      </c>
      <c r="N37" s="19" t="str">
        <f ca="1">IF(AI37&lt;=VLOOKUP(D37,'power prob array'!$A:$M,8), VLOOKUP(Swords!BQ37,Swords!$AS:$BC,11), "")</f>
        <v/>
      </c>
      <c r="O37" s="19" t="str">
        <f ca="1">IF(AJ37&lt;=VLOOKUP(D37,'power prob array'!$A:$M,9), VLOOKUP(Swords!BR37,Swords!$AS:$BC,11), "")</f>
        <v/>
      </c>
      <c r="P37" s="19" t="str">
        <f ca="1">IF(AK37&lt;=VLOOKUP(D37,'power prob array'!$A:$M,10), VLOOKUP(Swords!BS37,Swords!$AS:$BC,11), "")</f>
        <v/>
      </c>
      <c r="Q37" s="19" t="str">
        <f ca="1">IF(AL37&lt;=VLOOKUP(D37,'power prob array'!$A:$M,11), VLOOKUP(Swords!BT37,Swords!$AS:$BC,11), "")</f>
        <v/>
      </c>
      <c r="R37" s="19" t="str">
        <f ca="1">IF(AM37&lt;=VLOOKUP(D37,'power prob array'!$A:$M,12), VLOOKUP(Swords!BU37,Swords!$AS:$BC,11), "")</f>
        <v/>
      </c>
      <c r="S37" s="19" t="str">
        <f ca="1">IF(AN37&lt;=VLOOKUP(D37,'power prob array'!$A:$M,13), VLOOKUP(Swords!BV37,Swords!$AS:$BC,11), "")</f>
        <v/>
      </c>
      <c r="T37" s="18" t="str">
        <f t="shared" ca="1" si="8"/>
        <v>+2</v>
      </c>
      <c r="U37" s="18" t="str" cm="1">
        <f t="array" aca="1" ref="U37" ca="1">_xlfn.IFS(T37="Talent", VLOOKUP(AP37,$AS:$BF,14), T37="No", "", 1=1, VLOOKUP(AP37,$AS:$BF,13))</f>
        <v>Giantkind</v>
      </c>
      <c r="V37" s="1"/>
      <c r="W37" s="1"/>
      <c r="X37" s="1">
        <f t="shared" ca="1" si="19"/>
        <v>44</v>
      </c>
      <c r="Y37" s="1">
        <f t="shared" ca="1" si="19"/>
        <v>39</v>
      </c>
      <c r="Z37" s="1">
        <f t="shared" ca="1" si="19"/>
        <v>82</v>
      </c>
      <c r="AA37" s="1">
        <f t="shared" ca="1" si="19"/>
        <v>87</v>
      </c>
      <c r="AB37" s="1">
        <f t="shared" ca="1" si="19"/>
        <v>9</v>
      </c>
      <c r="AC37" s="1">
        <f t="shared" ca="1" si="19"/>
        <v>9</v>
      </c>
      <c r="AD37" s="1">
        <f t="shared" ca="1" si="19"/>
        <v>90</v>
      </c>
      <c r="AE37" s="1">
        <f t="shared" ca="1" si="19"/>
        <v>62</v>
      </c>
      <c r="AF37" s="1">
        <f t="shared" ca="1" si="19"/>
        <v>17</v>
      </c>
      <c r="AG37" s="1">
        <f t="shared" ca="1" si="19"/>
        <v>6</v>
      </c>
      <c r="AH37" s="1"/>
      <c r="AI37" s="1">
        <f t="shared" ca="1" si="19"/>
        <v>64</v>
      </c>
      <c r="AJ37" s="1">
        <f t="shared" ca="1" si="19"/>
        <v>99</v>
      </c>
      <c r="AK37" s="1">
        <f t="shared" ca="1" si="19"/>
        <v>54</v>
      </c>
      <c r="AL37" s="1">
        <f t="shared" ca="1" si="19"/>
        <v>16</v>
      </c>
      <c r="AM37" s="1">
        <f t="shared" ca="1" si="19"/>
        <v>87</v>
      </c>
      <c r="AN37" s="1">
        <f t="shared" ca="1" si="19"/>
        <v>27</v>
      </c>
      <c r="AO37" s="1">
        <f t="shared" ca="1" si="19"/>
        <v>12</v>
      </c>
      <c r="AP37" s="1">
        <f t="shared" ca="1" si="19"/>
        <v>32</v>
      </c>
      <c r="AQ37" s="1"/>
      <c r="AR37" s="1"/>
      <c r="AS37" s="20">
        <v>37</v>
      </c>
      <c r="AT37" s="20" t="s">
        <v>678</v>
      </c>
      <c r="AU37" s="21" t="s">
        <v>555</v>
      </c>
      <c r="AV37" s="21" t="s">
        <v>555</v>
      </c>
      <c r="AW37" s="21" t="s">
        <v>692</v>
      </c>
      <c r="AX37" s="21" t="s">
        <v>683</v>
      </c>
      <c r="AY37" s="22" t="s">
        <v>683</v>
      </c>
      <c r="AZ37" s="21" t="s">
        <v>692</v>
      </c>
      <c r="BA37" s="21" t="s">
        <v>695</v>
      </c>
      <c r="BB37" s="21" t="s">
        <v>699</v>
      </c>
      <c r="BC37" s="21" t="s">
        <v>178</v>
      </c>
      <c r="BD37" s="21" t="s">
        <v>556</v>
      </c>
      <c r="BE37" s="21" t="s">
        <v>640</v>
      </c>
      <c r="BF37" s="21" t="s">
        <v>656</v>
      </c>
      <c r="BK37" s="20">
        <f t="shared" ca="1" si="20"/>
        <v>70</v>
      </c>
      <c r="BL37" s="20">
        <f t="shared" ca="1" si="20"/>
        <v>59</v>
      </c>
      <c r="BM37" s="20">
        <f t="shared" ca="1" si="20"/>
        <v>100</v>
      </c>
      <c r="BN37" s="20">
        <f t="shared" ca="1" si="20"/>
        <v>17</v>
      </c>
      <c r="BO37" s="20">
        <f t="shared" ca="1" si="20"/>
        <v>3</v>
      </c>
      <c r="BP37" s="20">
        <f t="shared" ca="1" si="20"/>
        <v>80</v>
      </c>
      <c r="BQ37" s="20">
        <f t="shared" ca="1" si="20"/>
        <v>100</v>
      </c>
      <c r="BR37" s="20">
        <f t="shared" ca="1" si="20"/>
        <v>72</v>
      </c>
      <c r="BS37" s="20">
        <f t="shared" ca="1" si="20"/>
        <v>12</v>
      </c>
      <c r="BT37" s="20">
        <f t="shared" ca="1" si="20"/>
        <v>25</v>
      </c>
      <c r="BU37" s="20">
        <f t="shared" ca="1" si="20"/>
        <v>71</v>
      </c>
      <c r="BV37" s="20">
        <f t="shared" ca="1" si="20"/>
        <v>43</v>
      </c>
      <c r="BX37" s="23"/>
    </row>
    <row r="38" spans="1:76" s="33" customFormat="1" x14ac:dyDescent="0.3">
      <c r="A38" s="49">
        <v>37</v>
      </c>
      <c r="B38" s="18" t="str">
        <f t="shared" ref="B38:B101" ca="1" si="21">VLOOKUP(X38,$AS$1:$AT$100,2)</f>
        <v>Normal</v>
      </c>
      <c r="C38" s="18" t="str">
        <f t="shared" ref="C38:C101" ca="1" si="22">VLOOKUP(Y38,$AS$1:$AV$100,VLOOKUP(B38,$BG$1:$BH$5,2))</f>
        <v>+1</v>
      </c>
      <c r="D38" s="18">
        <f t="shared" ref="D38:D101" ca="1" si="23">INT(VLOOKUP(AA38,$AS$1:$AW$100,5))</f>
        <v>0</v>
      </c>
      <c r="E38" s="18" t="str">
        <f t="shared" ref="E38:E101" ca="1" si="24">VLOOKUP(AA38,$AS$1:$AX$100,6)</f>
        <v>Nil</v>
      </c>
      <c r="F38" s="18" t="str">
        <f t="shared" ref="F38:F101" ca="1" si="25">IF(E38="Speech", VLOOKUP(AA38,$AS$1:$AY$100,7), "Nil")</f>
        <v>Nil</v>
      </c>
      <c r="G38" s="18" t="str">
        <f ca="1">IF(AB38&lt;=VLOOKUP(D38,'power prob array'!$A:$M,2), VLOOKUP(Swords!BK38,Swords!$AS:$BB,10), "")</f>
        <v/>
      </c>
      <c r="H38" s="18" t="str">
        <f ca="1">IF(AC38&lt;=VLOOKUP(D38,'power prob array'!$A:$M,3), VLOOKUP(Swords!BL38,Swords!$AS:$BB,10), "")</f>
        <v/>
      </c>
      <c r="I38" s="18" t="str">
        <f ca="1">IF(AD38&lt;=VLOOKUP(D38,'power prob array'!$A:$M,4), VLOOKUP(Swords!BM38,Swords!$AS:$BB,10), "")</f>
        <v/>
      </c>
      <c r="J38" s="18" t="str">
        <f ca="1">IF(AE38&lt;=VLOOKUP(D38,'power prob array'!$A:$M,5), VLOOKUP(Swords!BN38,Swords!$AS:$BB,10), "")</f>
        <v/>
      </c>
      <c r="K38" s="18" t="str">
        <f ca="1">IF(AF38&lt;=VLOOKUP(D38,'power prob array'!$A:$M,6), VLOOKUP(Swords!BO38,Swords!$AS:$BB,10), "")</f>
        <v/>
      </c>
      <c r="L38" s="18" t="str">
        <f ca="1">IF(AG38&lt;=VLOOKUP(D38,'power prob array'!$A:$M,7), VLOOKUP(Swords!BP38,Swords!$AS:$BB,10), "")</f>
        <v/>
      </c>
      <c r="M38" s="18" t="str">
        <f t="shared" ref="M38:M101" ca="1" si="26">IF(D38&gt;=11, "Yes", "No")</f>
        <v>No</v>
      </c>
      <c r="N38" s="18" t="str">
        <f ca="1">IF(AI38&lt;=VLOOKUP(D38,'power prob array'!$A:$M,8), VLOOKUP(Swords!BQ38,Swords!$AS:$BC,11), "")</f>
        <v/>
      </c>
      <c r="O38" s="18" t="str">
        <f ca="1">IF(AJ38&lt;=VLOOKUP(D38,'power prob array'!$A:$M,9), VLOOKUP(Swords!BR38,Swords!$AS:$BC,11), "")</f>
        <v/>
      </c>
      <c r="P38" s="18" t="str">
        <f ca="1">IF(AK38&lt;=VLOOKUP(D38,'power prob array'!$A:$M,10), VLOOKUP(Swords!BS38,Swords!$AS:$BC,11), "")</f>
        <v/>
      </c>
      <c r="Q38" s="18" t="str">
        <f ca="1">IF(AL38&lt;=VLOOKUP(D38,'power prob array'!$A:$M,11), VLOOKUP(Swords!BT38,Swords!$AS:$BC,11), "")</f>
        <v/>
      </c>
      <c r="R38" s="18" t="str">
        <f ca="1">IF(AM38&lt;=VLOOKUP(D38,'power prob array'!$A:$M,12), VLOOKUP(Swords!BU38,Swords!$AS:$BC,11), "")</f>
        <v/>
      </c>
      <c r="S38" s="18" t="str">
        <f ca="1">IF(AN38&lt;=VLOOKUP(D38,'power prob array'!$A:$M,13), VLOOKUP(Swords!BV38,Swords!$AS:$BC,11), "")</f>
        <v/>
      </c>
      <c r="T38" s="18" t="str">
        <f t="shared" ca="1" si="8"/>
        <v>+4</v>
      </c>
      <c r="U38" s="18" t="str" cm="1">
        <f t="array" aca="1" ref="U38" ca="1">_xlfn.IFS(T38="Talent", VLOOKUP(AP38,$AS:$BF,14), T38="No", "", 1=1, VLOOKUP(AP38,$AS:$BF,13))</f>
        <v>Reptiles and Dinosaurs</v>
      </c>
      <c r="V38" s="1"/>
      <c r="W38" s="1"/>
      <c r="X38" s="1">
        <f t="shared" ca="1" si="19"/>
        <v>27</v>
      </c>
      <c r="Y38" s="1">
        <f t="shared" ca="1" si="19"/>
        <v>41</v>
      </c>
      <c r="Z38" s="1">
        <f t="shared" ca="1" si="19"/>
        <v>11</v>
      </c>
      <c r="AA38" s="1">
        <f t="shared" ca="1" si="19"/>
        <v>27</v>
      </c>
      <c r="AB38" s="1">
        <f t="shared" ca="1" si="19"/>
        <v>7</v>
      </c>
      <c r="AC38" s="1">
        <f t="shared" ca="1" si="19"/>
        <v>29</v>
      </c>
      <c r="AD38" s="1">
        <f t="shared" ca="1" si="19"/>
        <v>44</v>
      </c>
      <c r="AE38" s="1">
        <f t="shared" ca="1" si="19"/>
        <v>69</v>
      </c>
      <c r="AF38" s="1">
        <f t="shared" ca="1" si="19"/>
        <v>13</v>
      </c>
      <c r="AG38" s="1">
        <f t="shared" ca="1" si="19"/>
        <v>65</v>
      </c>
      <c r="AH38" s="1"/>
      <c r="AI38" s="1">
        <f t="shared" ca="1" si="19"/>
        <v>34</v>
      </c>
      <c r="AJ38" s="1">
        <f t="shared" ca="1" si="19"/>
        <v>99</v>
      </c>
      <c r="AK38" s="1">
        <f t="shared" ca="1" si="19"/>
        <v>4</v>
      </c>
      <c r="AL38" s="1">
        <f t="shared" ca="1" si="19"/>
        <v>40</v>
      </c>
      <c r="AM38" s="1">
        <f t="shared" ca="1" si="19"/>
        <v>36</v>
      </c>
      <c r="AN38" s="1">
        <f t="shared" ca="1" si="19"/>
        <v>22</v>
      </c>
      <c r="AO38" s="1">
        <f t="shared" ca="1" si="19"/>
        <v>34</v>
      </c>
      <c r="AP38" s="1">
        <f t="shared" ca="1" si="19"/>
        <v>65</v>
      </c>
      <c r="AQ38" s="1"/>
      <c r="AR38" s="1"/>
      <c r="AS38" s="33">
        <v>38</v>
      </c>
      <c r="AT38" s="33" t="s">
        <v>678</v>
      </c>
      <c r="AU38" s="34" t="s">
        <v>555</v>
      </c>
      <c r="AV38" s="34" t="s">
        <v>555</v>
      </c>
      <c r="AW38" s="34" t="s">
        <v>692</v>
      </c>
      <c r="AX38" s="34" t="s">
        <v>683</v>
      </c>
      <c r="AY38" s="35" t="s">
        <v>683</v>
      </c>
      <c r="AZ38" s="34" t="s">
        <v>692</v>
      </c>
      <c r="BA38" s="34" t="s">
        <v>695</v>
      </c>
      <c r="BB38" s="34" t="s">
        <v>699</v>
      </c>
      <c r="BC38" s="34" t="s">
        <v>178</v>
      </c>
      <c r="BD38" s="34" t="s">
        <v>556</v>
      </c>
      <c r="BE38" s="34" t="s">
        <v>640</v>
      </c>
      <c r="BF38" s="34" t="s">
        <v>656</v>
      </c>
      <c r="BK38" s="33">
        <f t="shared" ca="1" si="20"/>
        <v>22</v>
      </c>
      <c r="BL38" s="33">
        <f t="shared" ca="1" si="20"/>
        <v>65</v>
      </c>
      <c r="BM38" s="33">
        <f t="shared" ca="1" si="20"/>
        <v>71</v>
      </c>
      <c r="BN38" s="33">
        <f t="shared" ca="1" si="20"/>
        <v>1</v>
      </c>
      <c r="BO38" s="33">
        <f t="shared" ca="1" si="20"/>
        <v>36</v>
      </c>
      <c r="BP38" s="33">
        <f t="shared" ca="1" si="20"/>
        <v>1</v>
      </c>
      <c r="BQ38" s="33">
        <f t="shared" ca="1" si="20"/>
        <v>29</v>
      </c>
      <c r="BR38" s="33">
        <f t="shared" ca="1" si="20"/>
        <v>91</v>
      </c>
      <c r="BS38" s="33">
        <f t="shared" ca="1" si="20"/>
        <v>24</v>
      </c>
      <c r="BT38" s="33">
        <f t="shared" ca="1" si="20"/>
        <v>45</v>
      </c>
      <c r="BU38" s="33">
        <f t="shared" ca="1" si="20"/>
        <v>69</v>
      </c>
      <c r="BV38" s="33">
        <f t="shared" ca="1" si="20"/>
        <v>3</v>
      </c>
      <c r="BX38" s="36"/>
    </row>
    <row r="39" spans="1:76" x14ac:dyDescent="0.3">
      <c r="A39" s="49">
        <v>38</v>
      </c>
      <c r="B39" s="19" t="str">
        <f t="shared" ca="1" si="21"/>
        <v>Normal</v>
      </c>
      <c r="C39" s="19" t="str">
        <f t="shared" ca="1" si="22"/>
        <v>+2</v>
      </c>
      <c r="D39" s="19">
        <f t="shared" ca="1" si="23"/>
        <v>8</v>
      </c>
      <c r="E39" s="19" t="str">
        <f t="shared" ca="1" si="24"/>
        <v>Empathy</v>
      </c>
      <c r="F39" s="19" t="str">
        <f t="shared" ca="1" si="25"/>
        <v>Nil</v>
      </c>
      <c r="G39" s="19" t="str">
        <f ca="1">IF(AB39&lt;=VLOOKUP(D39,'power prob array'!$A:$M,2), VLOOKUP(Swords!BK39,Swords!$AS:$BB,10), "")</f>
        <v>Detect Shifting Walls and Rooms</v>
      </c>
      <c r="H39" s="19" t="str">
        <f ca="1">IF(AC39&lt;=VLOOKUP(D39,'power prob array'!$A:$M,3), VLOOKUP(Swords!BL39,Swords!$AS:$BB,10), "")</f>
        <v>Detect Gems</v>
      </c>
      <c r="I39" s="19" t="str">
        <f ca="1">IF(AD39&lt;=VLOOKUP(D39,'power prob array'!$A:$M,4), VLOOKUP(Swords!BM39,Swords!$AS:$BB,10), "")</f>
        <v/>
      </c>
      <c r="J39" s="19" t="str">
        <f ca="1">IF(AE39&lt;=VLOOKUP(D39,'power prob array'!$A:$M,5), VLOOKUP(Swords!BN39,Swords!$AS:$BB,10), "")</f>
        <v/>
      </c>
      <c r="K39" s="19" t="str">
        <f ca="1">IF(AF39&lt;=VLOOKUP(D39,'power prob array'!$A:$M,6), VLOOKUP(Swords!BO39,Swords!$AS:$BB,10), "")</f>
        <v/>
      </c>
      <c r="L39" s="19" t="str">
        <f ca="1">IF(AG39&lt;=VLOOKUP(D39,'power prob array'!$A:$M,7), VLOOKUP(Swords!BP39,Swords!$AS:$BB,10), "")</f>
        <v/>
      </c>
      <c r="M39" s="19" t="str">
        <f t="shared" ca="1" si="26"/>
        <v>No</v>
      </c>
      <c r="N39" s="19" t="str">
        <f ca="1">IF(AI39&lt;=VLOOKUP(D39,'power prob array'!$A:$M,8), VLOOKUP(Swords!BQ39,Swords!$AS:$BC,11), "")</f>
        <v/>
      </c>
      <c r="O39" s="19" t="str">
        <f ca="1">IF(AJ39&lt;=VLOOKUP(D39,'power prob array'!$A:$M,9), VLOOKUP(Swords!BR39,Swords!$AS:$BC,11), "")</f>
        <v/>
      </c>
      <c r="P39" s="19" t="str">
        <f ca="1">IF(AK39&lt;=VLOOKUP(D39,'power prob array'!$A:$M,10), VLOOKUP(Swords!BS39,Swords!$AS:$BC,11), "")</f>
        <v/>
      </c>
      <c r="Q39" s="19" t="str">
        <f ca="1">IF(AL39&lt;=VLOOKUP(D39,'power prob array'!$A:$M,11), VLOOKUP(Swords!BT39,Swords!$AS:$BC,11), "")</f>
        <v/>
      </c>
      <c r="R39" s="19" t="str">
        <f ca="1">IF(AM39&lt;=VLOOKUP(D39,'power prob array'!$A:$M,12), VLOOKUP(Swords!BU39,Swords!$AS:$BC,11), "")</f>
        <v/>
      </c>
      <c r="S39" s="19" t="str">
        <f ca="1">IF(AN39&lt;=VLOOKUP(D39,'power prob array'!$A:$M,13), VLOOKUP(Swords!BV39,Swords!$AS:$BC,11), "")</f>
        <v/>
      </c>
      <c r="T39" s="18" t="str">
        <f t="shared" ca="1" si="8"/>
        <v>No</v>
      </c>
      <c r="U39" s="18" t="str" cm="1">
        <f t="array" aca="1" ref="U39" ca="1">_xlfn.IFS(T39="Talent", VLOOKUP(AP39,$AS:$BF,14), T39="No", "", 1=1, VLOOKUP(AP39,$AS:$BF,13))</f>
        <v/>
      </c>
      <c r="V39" s="1"/>
      <c r="W39" s="1"/>
      <c r="X39" s="1">
        <f t="shared" ca="1" si="19"/>
        <v>10</v>
      </c>
      <c r="Y39" s="1">
        <f t="shared" ca="1" si="19"/>
        <v>71</v>
      </c>
      <c r="Z39" s="1">
        <f t="shared" ca="1" si="19"/>
        <v>29</v>
      </c>
      <c r="AA39" s="1">
        <f t="shared" ca="1" si="19"/>
        <v>90</v>
      </c>
      <c r="AB39" s="1">
        <f t="shared" ca="1" si="19"/>
        <v>25</v>
      </c>
      <c r="AC39" s="1">
        <f t="shared" ca="1" si="19"/>
        <v>100</v>
      </c>
      <c r="AD39" s="1">
        <f t="shared" ca="1" si="19"/>
        <v>79</v>
      </c>
      <c r="AE39" s="1">
        <f t="shared" ca="1" si="19"/>
        <v>68</v>
      </c>
      <c r="AF39" s="1">
        <f t="shared" ca="1" si="19"/>
        <v>34</v>
      </c>
      <c r="AG39" s="1">
        <f t="shared" ca="1" si="19"/>
        <v>98</v>
      </c>
      <c r="AH39" s="1"/>
      <c r="AI39" s="1">
        <f t="shared" ca="1" si="19"/>
        <v>39</v>
      </c>
      <c r="AJ39" s="1">
        <f t="shared" ca="1" si="19"/>
        <v>100</v>
      </c>
      <c r="AK39" s="1">
        <f t="shared" ca="1" si="19"/>
        <v>94</v>
      </c>
      <c r="AL39" s="1">
        <f t="shared" ca="1" si="19"/>
        <v>66</v>
      </c>
      <c r="AM39" s="1">
        <f t="shared" ca="1" si="19"/>
        <v>85</v>
      </c>
      <c r="AN39" s="1">
        <f t="shared" ca="1" si="19"/>
        <v>4</v>
      </c>
      <c r="AO39" s="1">
        <f t="shared" ca="1" si="19"/>
        <v>45</v>
      </c>
      <c r="AP39" s="1">
        <f t="shared" ca="1" si="19"/>
        <v>88</v>
      </c>
      <c r="AQ39" s="1"/>
      <c r="AR39" s="1"/>
      <c r="AS39">
        <v>39</v>
      </c>
      <c r="AT39" t="s">
        <v>678</v>
      </c>
      <c r="AU39" s="9" t="s">
        <v>555</v>
      </c>
      <c r="AV39" s="9" t="s">
        <v>555</v>
      </c>
      <c r="AW39" s="9" t="s">
        <v>692</v>
      </c>
      <c r="AX39" s="9" t="s">
        <v>683</v>
      </c>
      <c r="AY39" s="16" t="s">
        <v>683</v>
      </c>
      <c r="AZ39" s="9" t="s">
        <v>692</v>
      </c>
      <c r="BA39" s="9" t="s">
        <v>695</v>
      </c>
      <c r="BB39" s="9" t="s">
        <v>699</v>
      </c>
      <c r="BC39" s="9" t="s">
        <v>178</v>
      </c>
      <c r="BD39" s="9" t="s">
        <v>556</v>
      </c>
      <c r="BE39" s="9" t="s">
        <v>640</v>
      </c>
      <c r="BF39" s="9" t="s">
        <v>657</v>
      </c>
      <c r="BK39">
        <f t="shared" ca="1" si="20"/>
        <v>50</v>
      </c>
      <c r="BL39">
        <f t="shared" ca="1" si="20"/>
        <v>15</v>
      </c>
      <c r="BM39">
        <f t="shared" ca="1" si="20"/>
        <v>17</v>
      </c>
      <c r="BN39">
        <f t="shared" ca="1" si="20"/>
        <v>89</v>
      </c>
      <c r="BO39">
        <f t="shared" ca="1" si="20"/>
        <v>24</v>
      </c>
      <c r="BP39">
        <f t="shared" ca="1" si="20"/>
        <v>18</v>
      </c>
      <c r="BQ39">
        <f t="shared" ca="1" si="20"/>
        <v>89</v>
      </c>
      <c r="BR39">
        <f t="shared" ca="1" si="20"/>
        <v>68</v>
      </c>
      <c r="BS39">
        <f t="shared" ca="1" si="20"/>
        <v>4</v>
      </c>
      <c r="BT39">
        <f t="shared" ca="1" si="20"/>
        <v>84</v>
      </c>
      <c r="BU39">
        <f t="shared" ca="1" si="20"/>
        <v>75</v>
      </c>
      <c r="BV39">
        <f t="shared" ca="1" si="20"/>
        <v>88</v>
      </c>
    </row>
    <row r="40" spans="1:76" s="33" customFormat="1" x14ac:dyDescent="0.3">
      <c r="A40" s="49">
        <v>39</v>
      </c>
      <c r="B40" s="18" t="str">
        <f t="shared" ca="1" si="21"/>
        <v>Normal</v>
      </c>
      <c r="C40" s="18" t="str">
        <f t="shared" ca="1" si="22"/>
        <v>+1</v>
      </c>
      <c r="D40" s="18">
        <f t="shared" ca="1" si="23"/>
        <v>0</v>
      </c>
      <c r="E40" s="18" t="str">
        <f t="shared" ca="1" si="24"/>
        <v>Nil</v>
      </c>
      <c r="F40" s="18" t="str">
        <f t="shared" ca="1" si="25"/>
        <v>Nil</v>
      </c>
      <c r="G40" s="18" t="str">
        <f ca="1">IF(AB40&lt;=VLOOKUP(D40,'power prob array'!$A:$M,2), VLOOKUP(Swords!BK40,Swords!$AS:$BB,10), "")</f>
        <v/>
      </c>
      <c r="H40" s="18" t="str">
        <f ca="1">IF(AC40&lt;=VLOOKUP(D40,'power prob array'!$A:$M,3), VLOOKUP(Swords!BL40,Swords!$AS:$BB,10), "")</f>
        <v/>
      </c>
      <c r="I40" s="18" t="str">
        <f ca="1">IF(AD40&lt;=VLOOKUP(D40,'power prob array'!$A:$M,4), VLOOKUP(Swords!BM40,Swords!$AS:$BB,10), "")</f>
        <v/>
      </c>
      <c r="J40" s="18" t="str">
        <f ca="1">IF(AE40&lt;=VLOOKUP(D40,'power prob array'!$A:$M,5), VLOOKUP(Swords!BN40,Swords!$AS:$BB,10), "")</f>
        <v/>
      </c>
      <c r="K40" s="18" t="str">
        <f ca="1">IF(AF40&lt;=VLOOKUP(D40,'power prob array'!$A:$M,6), VLOOKUP(Swords!BO40,Swords!$AS:$BB,10), "")</f>
        <v/>
      </c>
      <c r="L40" s="18" t="str">
        <f ca="1">IF(AG40&lt;=VLOOKUP(D40,'power prob array'!$A:$M,7), VLOOKUP(Swords!BP40,Swords!$AS:$BB,10), "")</f>
        <v/>
      </c>
      <c r="M40" s="18" t="str">
        <f t="shared" ca="1" si="26"/>
        <v>No</v>
      </c>
      <c r="N40" s="18" t="str">
        <f ca="1">IF(AI40&lt;=VLOOKUP(D40,'power prob array'!$A:$M,8), VLOOKUP(Swords!BQ40,Swords!$AS:$BC,11), "")</f>
        <v/>
      </c>
      <c r="O40" s="18" t="str">
        <f ca="1">IF(AJ40&lt;=VLOOKUP(D40,'power prob array'!$A:$M,9), VLOOKUP(Swords!BR40,Swords!$AS:$BC,11), "")</f>
        <v/>
      </c>
      <c r="P40" s="18" t="str">
        <f ca="1">IF(AK40&lt;=VLOOKUP(D40,'power prob array'!$A:$M,10), VLOOKUP(Swords!BS40,Swords!$AS:$BC,11), "")</f>
        <v/>
      </c>
      <c r="Q40" s="18" t="str">
        <f ca="1">IF(AL40&lt;=VLOOKUP(D40,'power prob array'!$A:$M,11), VLOOKUP(Swords!BT40,Swords!$AS:$BC,11), "")</f>
        <v/>
      </c>
      <c r="R40" s="18" t="str">
        <f ca="1">IF(AM40&lt;=VLOOKUP(D40,'power prob array'!$A:$M,12), VLOOKUP(Swords!BU40,Swords!$AS:$BC,11), "")</f>
        <v/>
      </c>
      <c r="S40" s="18" t="str">
        <f ca="1">IF(AN40&lt;=VLOOKUP(D40,'power prob array'!$A:$M,13), VLOOKUP(Swords!BV40,Swords!$AS:$BC,11), "")</f>
        <v/>
      </c>
      <c r="T40" s="18" t="str">
        <f t="shared" ca="1" si="8"/>
        <v>No</v>
      </c>
      <c r="U40" s="18" t="str" cm="1">
        <f t="array" aca="1" ref="U40" ca="1">_xlfn.IFS(T40="Talent", VLOOKUP(AP40,$AS:$BF,14), T40="No", "", 1=1, VLOOKUP(AP40,$AS:$BF,13))</f>
        <v/>
      </c>
      <c r="V40" s="1"/>
      <c r="W40" s="1"/>
      <c r="X40" s="1">
        <f t="shared" ca="1" si="19"/>
        <v>60</v>
      </c>
      <c r="Y40" s="1">
        <f t="shared" ca="1" si="19"/>
        <v>34</v>
      </c>
      <c r="Z40" s="1">
        <f t="shared" ca="1" si="19"/>
        <v>32</v>
      </c>
      <c r="AA40" s="1">
        <f t="shared" ca="1" si="19"/>
        <v>54</v>
      </c>
      <c r="AB40" s="1">
        <f t="shared" ca="1" si="19"/>
        <v>62</v>
      </c>
      <c r="AC40" s="1">
        <f t="shared" ca="1" si="19"/>
        <v>7</v>
      </c>
      <c r="AD40" s="1">
        <f t="shared" ca="1" si="19"/>
        <v>14</v>
      </c>
      <c r="AE40" s="1">
        <f t="shared" ca="1" si="19"/>
        <v>71</v>
      </c>
      <c r="AF40" s="1">
        <f t="shared" ca="1" si="19"/>
        <v>24</v>
      </c>
      <c r="AG40" s="1">
        <f t="shared" ca="1" si="19"/>
        <v>4</v>
      </c>
      <c r="AH40" s="1"/>
      <c r="AI40" s="1">
        <f t="shared" ca="1" si="19"/>
        <v>53</v>
      </c>
      <c r="AJ40" s="1">
        <f t="shared" ca="1" si="19"/>
        <v>83</v>
      </c>
      <c r="AK40" s="1">
        <f t="shared" ca="1" si="19"/>
        <v>85</v>
      </c>
      <c r="AL40" s="1">
        <f t="shared" ca="1" si="19"/>
        <v>41</v>
      </c>
      <c r="AM40" s="1">
        <f t="shared" ca="1" si="19"/>
        <v>44</v>
      </c>
      <c r="AN40" s="1">
        <f t="shared" ca="1" si="19"/>
        <v>86</v>
      </c>
      <c r="AO40" s="1">
        <f t="shared" ca="1" si="19"/>
        <v>54</v>
      </c>
      <c r="AP40" s="1">
        <f t="shared" ca="1" si="19"/>
        <v>36</v>
      </c>
      <c r="AQ40" s="1"/>
      <c r="AR40" s="1"/>
      <c r="AS40" s="33">
        <v>40</v>
      </c>
      <c r="AT40" s="33" t="s">
        <v>678</v>
      </c>
      <c r="AU40" s="34" t="s">
        <v>555</v>
      </c>
      <c r="AV40" s="34" t="s">
        <v>555</v>
      </c>
      <c r="AW40" s="34" t="s">
        <v>692</v>
      </c>
      <c r="AX40" s="34" t="s">
        <v>683</v>
      </c>
      <c r="AY40" s="35" t="s">
        <v>683</v>
      </c>
      <c r="AZ40" s="34" t="s">
        <v>692</v>
      </c>
      <c r="BA40" s="34" t="s">
        <v>695</v>
      </c>
      <c r="BB40" s="34" t="s">
        <v>699</v>
      </c>
      <c r="BC40" s="34" t="s">
        <v>178</v>
      </c>
      <c r="BD40" s="34" t="s">
        <v>556</v>
      </c>
      <c r="BE40" s="34" t="s">
        <v>640</v>
      </c>
      <c r="BF40" s="34" t="s">
        <v>657</v>
      </c>
      <c r="BK40" s="33">
        <f t="shared" ca="1" si="20"/>
        <v>70</v>
      </c>
      <c r="BL40" s="33">
        <f t="shared" ca="1" si="20"/>
        <v>85</v>
      </c>
      <c r="BM40" s="33">
        <f t="shared" ca="1" si="20"/>
        <v>65</v>
      </c>
      <c r="BN40" s="33">
        <f t="shared" ca="1" si="20"/>
        <v>50</v>
      </c>
      <c r="BO40" s="33">
        <f t="shared" ca="1" si="20"/>
        <v>6</v>
      </c>
      <c r="BP40" s="33">
        <f t="shared" ca="1" si="20"/>
        <v>63</v>
      </c>
      <c r="BQ40" s="33">
        <f t="shared" ca="1" si="20"/>
        <v>41</v>
      </c>
      <c r="BR40" s="33">
        <f t="shared" ca="1" si="20"/>
        <v>19</v>
      </c>
      <c r="BS40" s="33">
        <f t="shared" ca="1" si="20"/>
        <v>24</v>
      </c>
      <c r="BT40" s="33">
        <f t="shared" ca="1" si="20"/>
        <v>93</v>
      </c>
      <c r="BU40" s="33">
        <f t="shared" ca="1" si="20"/>
        <v>85</v>
      </c>
      <c r="BV40" s="33">
        <f t="shared" ca="1" si="20"/>
        <v>32</v>
      </c>
      <c r="BX40" s="36"/>
    </row>
    <row r="41" spans="1:76" x14ac:dyDescent="0.3">
      <c r="A41" s="49">
        <v>40</v>
      </c>
      <c r="B41" s="19" t="str">
        <f t="shared" ca="1" si="21"/>
        <v>Short</v>
      </c>
      <c r="C41" s="19" t="str">
        <f t="shared" ca="1" si="22"/>
        <v>+1</v>
      </c>
      <c r="D41" s="19">
        <f t="shared" ca="1" si="23"/>
        <v>0</v>
      </c>
      <c r="E41" s="19" t="str">
        <f t="shared" ca="1" si="24"/>
        <v>Nil</v>
      </c>
      <c r="F41" s="19" t="str">
        <f t="shared" ca="1" si="25"/>
        <v>Nil</v>
      </c>
      <c r="G41" s="19" t="str">
        <f ca="1">IF(AB41&lt;=VLOOKUP(D41,'power prob array'!$A:$M,2), VLOOKUP(Swords!BK41,Swords!$AS:$BB,10), "")</f>
        <v/>
      </c>
      <c r="H41" s="19" t="str">
        <f ca="1">IF(AC41&lt;=VLOOKUP(D41,'power prob array'!$A:$M,3), VLOOKUP(Swords!BL41,Swords!$AS:$BB,10), "")</f>
        <v/>
      </c>
      <c r="I41" s="19" t="str">
        <f ca="1">IF(AD41&lt;=VLOOKUP(D41,'power prob array'!$A:$M,4), VLOOKUP(Swords!BM41,Swords!$AS:$BB,10), "")</f>
        <v/>
      </c>
      <c r="J41" s="19" t="str">
        <f ca="1">IF(AE41&lt;=VLOOKUP(D41,'power prob array'!$A:$M,5), VLOOKUP(Swords!BN41,Swords!$AS:$BB,10), "")</f>
        <v/>
      </c>
      <c r="K41" s="19" t="str">
        <f ca="1">IF(AF41&lt;=VLOOKUP(D41,'power prob array'!$A:$M,6), VLOOKUP(Swords!BO41,Swords!$AS:$BB,10), "")</f>
        <v/>
      </c>
      <c r="L41" s="19" t="str">
        <f ca="1">IF(AG41&lt;=VLOOKUP(D41,'power prob array'!$A:$M,7), VLOOKUP(Swords!BP41,Swords!$AS:$BB,10), "")</f>
        <v/>
      </c>
      <c r="M41" s="19" t="str">
        <f t="shared" ca="1" si="26"/>
        <v>No</v>
      </c>
      <c r="N41" s="19" t="str">
        <f ca="1">IF(AI41&lt;=VLOOKUP(D41,'power prob array'!$A:$M,8), VLOOKUP(Swords!BQ41,Swords!$AS:$BC,11), "")</f>
        <v/>
      </c>
      <c r="O41" s="19" t="str">
        <f ca="1">IF(AJ41&lt;=VLOOKUP(D41,'power prob array'!$A:$M,9), VLOOKUP(Swords!BR41,Swords!$AS:$BC,11), "")</f>
        <v/>
      </c>
      <c r="P41" s="19" t="str">
        <f ca="1">IF(AK41&lt;=VLOOKUP(D41,'power prob array'!$A:$M,10), VLOOKUP(Swords!BS41,Swords!$AS:$BC,11), "")</f>
        <v/>
      </c>
      <c r="Q41" s="19" t="str">
        <f ca="1">IF(AL41&lt;=VLOOKUP(D41,'power prob array'!$A:$M,11), VLOOKUP(Swords!BT41,Swords!$AS:$BC,11), "")</f>
        <v/>
      </c>
      <c r="R41" s="19" t="str">
        <f ca="1">IF(AM41&lt;=VLOOKUP(D41,'power prob array'!$A:$M,12), VLOOKUP(Swords!BU41,Swords!$AS:$BC,11), "")</f>
        <v/>
      </c>
      <c r="S41" s="19" t="str">
        <f ca="1">IF(AN41&lt;=VLOOKUP(D41,'power prob array'!$A:$M,13), VLOOKUP(Swords!BV41,Swords!$AS:$BC,11), "")</f>
        <v/>
      </c>
      <c r="T41" s="18" t="str">
        <f t="shared" ca="1" si="8"/>
        <v>+1</v>
      </c>
      <c r="U41" s="18" t="str" cm="1">
        <f t="array" aca="1" ref="U41" ca="1">_xlfn.IFS(T41="Talent", VLOOKUP(AP41,$AS:$BF,14), T41="No", "", 1=1, VLOOKUP(AP41,$AS:$BF,13))</f>
        <v>Giantkind</v>
      </c>
      <c r="V41" s="1"/>
      <c r="W41" s="1"/>
      <c r="X41" s="1">
        <f t="shared" ca="1" si="19"/>
        <v>66</v>
      </c>
      <c r="Y41" s="1">
        <f t="shared" ca="1" si="19"/>
        <v>21</v>
      </c>
      <c r="Z41" s="1">
        <f t="shared" ca="1" si="19"/>
        <v>79</v>
      </c>
      <c r="AA41" s="1">
        <f t="shared" ca="1" si="19"/>
        <v>15</v>
      </c>
      <c r="AB41" s="1">
        <f t="shared" ca="1" si="19"/>
        <v>35</v>
      </c>
      <c r="AC41" s="1">
        <f t="shared" ca="1" si="19"/>
        <v>48</v>
      </c>
      <c r="AD41" s="1">
        <f t="shared" ca="1" si="19"/>
        <v>13</v>
      </c>
      <c r="AE41" s="1">
        <f t="shared" ca="1" si="19"/>
        <v>16</v>
      </c>
      <c r="AF41" s="1">
        <f t="shared" ca="1" si="19"/>
        <v>80</v>
      </c>
      <c r="AG41" s="1">
        <f t="shared" ca="1" si="19"/>
        <v>53</v>
      </c>
      <c r="AH41" s="1"/>
      <c r="AI41" s="1">
        <f t="shared" ca="1" si="19"/>
        <v>23</v>
      </c>
      <c r="AJ41" s="1">
        <f t="shared" ca="1" si="19"/>
        <v>62</v>
      </c>
      <c r="AK41" s="1">
        <f t="shared" ca="1" si="19"/>
        <v>98</v>
      </c>
      <c r="AL41" s="1">
        <f t="shared" ca="1" si="19"/>
        <v>96</v>
      </c>
      <c r="AM41" s="1">
        <f t="shared" ca="1" si="19"/>
        <v>52</v>
      </c>
      <c r="AN41" s="1">
        <f t="shared" ca="1" si="19"/>
        <v>72</v>
      </c>
      <c r="AO41" s="1">
        <f t="shared" ca="1" si="19"/>
        <v>34</v>
      </c>
      <c r="AP41" s="1">
        <f t="shared" ca="1" si="19"/>
        <v>27</v>
      </c>
      <c r="AQ41" s="1"/>
      <c r="AR41" s="1"/>
      <c r="AS41">
        <v>41</v>
      </c>
      <c r="AT41" t="s">
        <v>678</v>
      </c>
      <c r="AU41" s="9" t="s">
        <v>555</v>
      </c>
      <c r="AV41" s="9" t="s">
        <v>555</v>
      </c>
      <c r="AW41" s="9" t="s">
        <v>692</v>
      </c>
      <c r="AX41" s="9" t="s">
        <v>683</v>
      </c>
      <c r="AY41" s="16" t="s">
        <v>683</v>
      </c>
      <c r="AZ41" s="9" t="s">
        <v>692</v>
      </c>
      <c r="BA41" s="9" t="s">
        <v>695</v>
      </c>
      <c r="BB41" s="9" t="s">
        <v>699</v>
      </c>
      <c r="BC41" s="9" t="s">
        <v>184</v>
      </c>
      <c r="BD41" s="9" t="s">
        <v>556</v>
      </c>
      <c r="BE41" s="9" t="s">
        <v>640</v>
      </c>
      <c r="BF41" s="9" t="s">
        <v>657</v>
      </c>
      <c r="BK41">
        <f t="shared" ca="1" si="20"/>
        <v>93</v>
      </c>
      <c r="BL41">
        <f t="shared" ca="1" si="20"/>
        <v>48</v>
      </c>
      <c r="BM41">
        <f t="shared" ca="1" si="20"/>
        <v>32</v>
      </c>
      <c r="BN41">
        <f t="shared" ca="1" si="20"/>
        <v>29</v>
      </c>
      <c r="BO41">
        <f t="shared" ca="1" si="20"/>
        <v>18</v>
      </c>
      <c r="BP41">
        <f t="shared" ca="1" si="20"/>
        <v>3</v>
      </c>
      <c r="BQ41">
        <f t="shared" ca="1" si="20"/>
        <v>6</v>
      </c>
      <c r="BR41">
        <f t="shared" ca="1" si="20"/>
        <v>84</v>
      </c>
      <c r="BS41">
        <f t="shared" ca="1" si="20"/>
        <v>42</v>
      </c>
      <c r="BT41">
        <f t="shared" ca="1" si="20"/>
        <v>48</v>
      </c>
      <c r="BU41">
        <f t="shared" ca="1" si="20"/>
        <v>79</v>
      </c>
      <c r="BV41">
        <f t="shared" ca="1" si="20"/>
        <v>53</v>
      </c>
    </row>
    <row r="42" spans="1:76" s="33" customFormat="1" x14ac:dyDescent="0.3">
      <c r="A42" s="49">
        <v>41</v>
      </c>
      <c r="B42" s="18" t="str">
        <f t="shared" ca="1" si="21"/>
        <v>Normal</v>
      </c>
      <c r="C42" s="18" t="str">
        <f t="shared" ca="1" si="22"/>
        <v>+1</v>
      </c>
      <c r="D42" s="18">
        <f t="shared" ca="1" si="23"/>
        <v>0</v>
      </c>
      <c r="E42" s="18" t="str">
        <f t="shared" ca="1" si="24"/>
        <v>Nil</v>
      </c>
      <c r="F42" s="18" t="str">
        <f t="shared" ca="1" si="25"/>
        <v>Nil</v>
      </c>
      <c r="G42" s="18" t="str">
        <f ca="1">IF(AB42&lt;=VLOOKUP(D42,'power prob array'!$A:$M,2), VLOOKUP(Swords!BK42,Swords!$AS:$BB,10), "")</f>
        <v/>
      </c>
      <c r="H42" s="18" t="str">
        <f ca="1">IF(AC42&lt;=VLOOKUP(D42,'power prob array'!$A:$M,3), VLOOKUP(Swords!BL42,Swords!$AS:$BB,10), "")</f>
        <v/>
      </c>
      <c r="I42" s="18" t="str">
        <f ca="1">IF(AD42&lt;=VLOOKUP(D42,'power prob array'!$A:$M,4), VLOOKUP(Swords!BM42,Swords!$AS:$BB,10), "")</f>
        <v/>
      </c>
      <c r="J42" s="18" t="str">
        <f ca="1">IF(AE42&lt;=VLOOKUP(D42,'power prob array'!$A:$M,5), VLOOKUP(Swords!BN42,Swords!$AS:$BB,10), "")</f>
        <v/>
      </c>
      <c r="K42" s="18" t="str">
        <f ca="1">IF(AF42&lt;=VLOOKUP(D42,'power prob array'!$A:$M,6), VLOOKUP(Swords!BO42,Swords!$AS:$BB,10), "")</f>
        <v/>
      </c>
      <c r="L42" s="18" t="str">
        <f ca="1">IF(AG42&lt;=VLOOKUP(D42,'power prob array'!$A:$M,7), VLOOKUP(Swords!BP42,Swords!$AS:$BB,10), "")</f>
        <v/>
      </c>
      <c r="M42" s="18" t="str">
        <f t="shared" ca="1" si="26"/>
        <v>No</v>
      </c>
      <c r="N42" s="18" t="str">
        <f ca="1">IF(AI42&lt;=VLOOKUP(D42,'power prob array'!$A:$M,8), VLOOKUP(Swords!BQ42,Swords!$AS:$BC,11), "")</f>
        <v/>
      </c>
      <c r="O42" s="18" t="str">
        <f ca="1">IF(AJ42&lt;=VLOOKUP(D42,'power prob array'!$A:$M,9), VLOOKUP(Swords!BR42,Swords!$AS:$BC,11), "")</f>
        <v/>
      </c>
      <c r="P42" s="18" t="str">
        <f ca="1">IF(AK42&lt;=VLOOKUP(D42,'power prob array'!$A:$M,10), VLOOKUP(Swords!BS42,Swords!$AS:$BC,11), "")</f>
        <v/>
      </c>
      <c r="Q42" s="18" t="str">
        <f ca="1">IF(AL42&lt;=VLOOKUP(D42,'power prob array'!$A:$M,11), VLOOKUP(Swords!BT42,Swords!$AS:$BC,11), "")</f>
        <v/>
      </c>
      <c r="R42" s="18" t="str">
        <f ca="1">IF(AM42&lt;=VLOOKUP(D42,'power prob array'!$A:$M,12), VLOOKUP(Swords!BU42,Swords!$AS:$BC,11), "")</f>
        <v/>
      </c>
      <c r="S42" s="18" t="str">
        <f ca="1">IF(AN42&lt;=VLOOKUP(D42,'power prob array'!$A:$M,13), VLOOKUP(Swords!BV42,Swords!$AS:$BC,11), "")</f>
        <v/>
      </c>
      <c r="T42" s="18" t="str">
        <f t="shared" ca="1" si="8"/>
        <v>No</v>
      </c>
      <c r="U42" s="18" t="str" cm="1">
        <f t="array" aca="1" ref="U42" ca="1">_xlfn.IFS(T42="Talent", VLOOKUP(AP42,$AS:$BF,14), T42="No", "", 1=1, VLOOKUP(AP42,$AS:$BF,13))</f>
        <v/>
      </c>
      <c r="V42" s="1"/>
      <c r="W42" s="1"/>
      <c r="X42" s="1">
        <f t="shared" ca="1" si="19"/>
        <v>17</v>
      </c>
      <c r="Y42" s="1">
        <f t="shared" ca="1" si="19"/>
        <v>24</v>
      </c>
      <c r="Z42" s="1">
        <f t="shared" ca="1" si="19"/>
        <v>58</v>
      </c>
      <c r="AA42" s="1">
        <f t="shared" ca="1" si="19"/>
        <v>8</v>
      </c>
      <c r="AB42" s="1">
        <f t="shared" ca="1" si="19"/>
        <v>79</v>
      </c>
      <c r="AC42" s="1">
        <f t="shared" ca="1" si="19"/>
        <v>27</v>
      </c>
      <c r="AD42" s="1">
        <f t="shared" ca="1" si="19"/>
        <v>3</v>
      </c>
      <c r="AE42" s="1">
        <f t="shared" ca="1" si="19"/>
        <v>14</v>
      </c>
      <c r="AF42" s="1">
        <f t="shared" ca="1" si="19"/>
        <v>90</v>
      </c>
      <c r="AG42" s="1">
        <f t="shared" ca="1" si="19"/>
        <v>32</v>
      </c>
      <c r="AH42" s="1"/>
      <c r="AI42" s="1">
        <f t="shared" ca="1" si="19"/>
        <v>35</v>
      </c>
      <c r="AJ42" s="1">
        <f t="shared" ca="1" si="19"/>
        <v>87</v>
      </c>
      <c r="AK42" s="1">
        <f t="shared" ca="1" si="19"/>
        <v>19</v>
      </c>
      <c r="AL42" s="1">
        <f t="shared" ca="1" si="19"/>
        <v>58</v>
      </c>
      <c r="AM42" s="1">
        <f t="shared" ca="1" si="19"/>
        <v>26</v>
      </c>
      <c r="AN42" s="1">
        <f t="shared" ca="1" si="19"/>
        <v>20</v>
      </c>
      <c r="AO42" s="1">
        <f t="shared" ca="1" si="19"/>
        <v>54</v>
      </c>
      <c r="AP42" s="1">
        <f t="shared" ca="1" si="19"/>
        <v>96</v>
      </c>
      <c r="AQ42" s="1"/>
      <c r="AR42" s="1"/>
      <c r="AS42" s="33">
        <v>42</v>
      </c>
      <c r="AT42" s="33" t="s">
        <v>678</v>
      </c>
      <c r="AU42" s="34" t="s">
        <v>555</v>
      </c>
      <c r="AV42" s="34" t="s">
        <v>555</v>
      </c>
      <c r="AW42" s="34" t="s">
        <v>692</v>
      </c>
      <c r="AX42" s="34" t="s">
        <v>683</v>
      </c>
      <c r="AY42" s="35" t="s">
        <v>683</v>
      </c>
      <c r="AZ42" s="34" t="s">
        <v>692</v>
      </c>
      <c r="BA42" s="34" t="s">
        <v>695</v>
      </c>
      <c r="BB42" s="34" t="s">
        <v>699</v>
      </c>
      <c r="BC42" s="34" t="s">
        <v>184</v>
      </c>
      <c r="BD42" s="34" t="s">
        <v>556</v>
      </c>
      <c r="BE42" s="34" t="s">
        <v>640</v>
      </c>
      <c r="BF42" s="34" t="s">
        <v>657</v>
      </c>
      <c r="BK42" s="33">
        <f t="shared" ca="1" si="20"/>
        <v>6</v>
      </c>
      <c r="BL42" s="33">
        <f t="shared" ca="1" si="20"/>
        <v>96</v>
      </c>
      <c r="BM42" s="33">
        <f t="shared" ca="1" si="20"/>
        <v>25</v>
      </c>
      <c r="BN42" s="33">
        <f t="shared" ca="1" si="20"/>
        <v>62</v>
      </c>
      <c r="BO42" s="33">
        <f t="shared" ca="1" si="20"/>
        <v>100</v>
      </c>
      <c r="BP42" s="33">
        <f t="shared" ca="1" si="20"/>
        <v>78</v>
      </c>
      <c r="BQ42" s="33">
        <f t="shared" ca="1" si="20"/>
        <v>96</v>
      </c>
      <c r="BR42" s="33">
        <f t="shared" ca="1" si="20"/>
        <v>67</v>
      </c>
      <c r="BS42" s="33">
        <f t="shared" ca="1" si="20"/>
        <v>84</v>
      </c>
      <c r="BT42" s="33">
        <f t="shared" ca="1" si="20"/>
        <v>54</v>
      </c>
      <c r="BU42" s="33">
        <f t="shared" ca="1" si="20"/>
        <v>62</v>
      </c>
      <c r="BV42" s="33">
        <f t="shared" ca="1" si="20"/>
        <v>43</v>
      </c>
      <c r="BX42" s="36"/>
    </row>
    <row r="43" spans="1:76" x14ac:dyDescent="0.3">
      <c r="A43" s="49">
        <v>42</v>
      </c>
      <c r="B43" s="19" t="str">
        <f t="shared" ca="1" si="21"/>
        <v>Short</v>
      </c>
      <c r="C43" s="19" t="str">
        <f t="shared" ca="1" si="22"/>
        <v>+1</v>
      </c>
      <c r="D43" s="19">
        <f t="shared" ca="1" si="23"/>
        <v>0</v>
      </c>
      <c r="E43" s="19" t="str">
        <f t="shared" ca="1" si="24"/>
        <v>Nil</v>
      </c>
      <c r="F43" s="19" t="str">
        <f t="shared" ca="1" si="25"/>
        <v>Nil</v>
      </c>
      <c r="G43" s="19" t="str">
        <f ca="1">IF(AB43&lt;=VLOOKUP(D43,'power prob array'!$A:$M,2), VLOOKUP(Swords!BK43,Swords!$AS:$BB,10), "")</f>
        <v/>
      </c>
      <c r="H43" s="19" t="str">
        <f ca="1">IF(AC43&lt;=VLOOKUP(D43,'power prob array'!$A:$M,3), VLOOKUP(Swords!BL43,Swords!$AS:$BB,10), "")</f>
        <v/>
      </c>
      <c r="I43" s="19" t="str">
        <f ca="1">IF(AD43&lt;=VLOOKUP(D43,'power prob array'!$A:$M,4), VLOOKUP(Swords!BM43,Swords!$AS:$BB,10), "")</f>
        <v/>
      </c>
      <c r="J43" s="19" t="str">
        <f ca="1">IF(AE43&lt;=VLOOKUP(D43,'power prob array'!$A:$M,5), VLOOKUP(Swords!BN43,Swords!$AS:$BB,10), "")</f>
        <v/>
      </c>
      <c r="K43" s="19" t="str">
        <f ca="1">IF(AF43&lt;=VLOOKUP(D43,'power prob array'!$A:$M,6), VLOOKUP(Swords!BO43,Swords!$AS:$BB,10), "")</f>
        <v/>
      </c>
      <c r="L43" s="19" t="str">
        <f ca="1">IF(AG43&lt;=VLOOKUP(D43,'power prob array'!$A:$M,7), VLOOKUP(Swords!BP43,Swords!$AS:$BB,10), "")</f>
        <v/>
      </c>
      <c r="M43" s="19" t="str">
        <f t="shared" ca="1" si="26"/>
        <v>No</v>
      </c>
      <c r="N43" s="19" t="str">
        <f ca="1">IF(AI43&lt;=VLOOKUP(D43,'power prob array'!$A:$M,8), VLOOKUP(Swords!BQ43,Swords!$AS:$BC,11), "")</f>
        <v/>
      </c>
      <c r="O43" s="19" t="str">
        <f ca="1">IF(AJ43&lt;=VLOOKUP(D43,'power prob array'!$A:$M,9), VLOOKUP(Swords!BR43,Swords!$AS:$BC,11), "")</f>
        <v/>
      </c>
      <c r="P43" s="19" t="str">
        <f ca="1">IF(AK43&lt;=VLOOKUP(D43,'power prob array'!$A:$M,10), VLOOKUP(Swords!BS43,Swords!$AS:$BC,11), "")</f>
        <v/>
      </c>
      <c r="Q43" s="19" t="str">
        <f ca="1">IF(AL43&lt;=VLOOKUP(D43,'power prob array'!$A:$M,11), VLOOKUP(Swords!BT43,Swords!$AS:$BC,11), "")</f>
        <v/>
      </c>
      <c r="R43" s="19" t="str">
        <f ca="1">IF(AM43&lt;=VLOOKUP(D43,'power prob array'!$A:$M,12), VLOOKUP(Swords!BU43,Swords!$AS:$BC,11), "")</f>
        <v/>
      </c>
      <c r="S43" s="19" t="str">
        <f ca="1">IF(AN43&lt;=VLOOKUP(D43,'power prob array'!$A:$M,13), VLOOKUP(Swords!BV43,Swords!$AS:$BC,11), "")</f>
        <v/>
      </c>
      <c r="T43" s="18" t="str">
        <f t="shared" ca="1" si="8"/>
        <v>No</v>
      </c>
      <c r="U43" s="18" t="str" cm="1">
        <f t="array" aca="1" ref="U43" ca="1">_xlfn.IFS(T43="Talent", VLOOKUP(AP43,$AS:$BF,14), T43="No", "", 1=1, VLOOKUP(AP43,$AS:$BF,13))</f>
        <v/>
      </c>
      <c r="V43" s="1"/>
      <c r="W43" s="1"/>
      <c r="X43" s="1">
        <f t="shared" ca="1" si="19"/>
        <v>72</v>
      </c>
      <c r="Y43" s="1">
        <f t="shared" ca="1" si="19"/>
        <v>51</v>
      </c>
      <c r="Z43" s="1">
        <f t="shared" ca="1" si="19"/>
        <v>98</v>
      </c>
      <c r="AA43" s="1">
        <f t="shared" ca="1" si="19"/>
        <v>9</v>
      </c>
      <c r="AB43" s="1">
        <f t="shared" ca="1" si="19"/>
        <v>21</v>
      </c>
      <c r="AC43" s="1">
        <f t="shared" ca="1" si="19"/>
        <v>70</v>
      </c>
      <c r="AD43" s="1">
        <f t="shared" ca="1" si="19"/>
        <v>89</v>
      </c>
      <c r="AE43" s="1">
        <f t="shared" ca="1" si="19"/>
        <v>91</v>
      </c>
      <c r="AF43" s="1">
        <f t="shared" ca="1" si="19"/>
        <v>22</v>
      </c>
      <c r="AG43" s="1">
        <f t="shared" ca="1" si="19"/>
        <v>16</v>
      </c>
      <c r="AH43" s="1"/>
      <c r="AI43" s="1">
        <f t="shared" ca="1" si="19"/>
        <v>56</v>
      </c>
      <c r="AJ43" s="1">
        <f t="shared" ca="1" si="19"/>
        <v>84</v>
      </c>
      <c r="AK43" s="1">
        <f t="shared" ca="1" si="19"/>
        <v>36</v>
      </c>
      <c r="AL43" s="1">
        <f t="shared" ca="1" si="19"/>
        <v>39</v>
      </c>
      <c r="AM43" s="1">
        <f t="shared" ca="1" si="19"/>
        <v>46</v>
      </c>
      <c r="AN43" s="1">
        <f t="shared" ca="1" si="19"/>
        <v>34</v>
      </c>
      <c r="AO43" s="1">
        <f t="shared" ca="1" si="19"/>
        <v>93</v>
      </c>
      <c r="AP43" s="1">
        <f t="shared" ca="1" si="19"/>
        <v>30</v>
      </c>
      <c r="AQ43" s="1"/>
      <c r="AR43" s="1"/>
      <c r="AS43">
        <v>43</v>
      </c>
      <c r="AT43" t="s">
        <v>678</v>
      </c>
      <c r="AU43" s="9" t="s">
        <v>555</v>
      </c>
      <c r="AV43" s="9" t="s">
        <v>555</v>
      </c>
      <c r="AW43" s="9" t="s">
        <v>692</v>
      </c>
      <c r="AX43" s="9" t="s">
        <v>683</v>
      </c>
      <c r="AY43" s="16" t="s">
        <v>683</v>
      </c>
      <c r="AZ43" s="9" t="s">
        <v>692</v>
      </c>
      <c r="BA43" s="9" t="s">
        <v>695</v>
      </c>
      <c r="BB43" s="9" t="s">
        <v>699</v>
      </c>
      <c r="BC43" s="9" t="s">
        <v>184</v>
      </c>
      <c r="BD43" s="9" t="s">
        <v>556</v>
      </c>
      <c r="BE43" s="9" t="s">
        <v>640</v>
      </c>
      <c r="BF43" s="9" t="s">
        <v>657</v>
      </c>
      <c r="BK43">
        <f t="shared" ca="1" si="20"/>
        <v>58</v>
      </c>
      <c r="BL43">
        <f t="shared" ca="1" si="20"/>
        <v>86</v>
      </c>
      <c r="BM43">
        <f t="shared" ca="1" si="20"/>
        <v>100</v>
      </c>
      <c r="BN43">
        <f t="shared" ca="1" si="20"/>
        <v>81</v>
      </c>
      <c r="BO43">
        <f t="shared" ca="1" si="20"/>
        <v>29</v>
      </c>
      <c r="BP43">
        <f t="shared" ca="1" si="20"/>
        <v>66</v>
      </c>
      <c r="BQ43">
        <f t="shared" ca="1" si="20"/>
        <v>73</v>
      </c>
      <c r="BR43">
        <f t="shared" ca="1" si="20"/>
        <v>94</v>
      </c>
      <c r="BS43">
        <f t="shared" ca="1" si="20"/>
        <v>36</v>
      </c>
      <c r="BT43">
        <f t="shared" ca="1" si="20"/>
        <v>48</v>
      </c>
      <c r="BU43">
        <f t="shared" ca="1" si="20"/>
        <v>89</v>
      </c>
      <c r="BV43">
        <f t="shared" ca="1" si="20"/>
        <v>13</v>
      </c>
    </row>
    <row r="44" spans="1:76" s="33" customFormat="1" x14ac:dyDescent="0.3">
      <c r="A44" s="49">
        <v>43</v>
      </c>
      <c r="B44" s="18" t="str">
        <f t="shared" ca="1" si="21"/>
        <v>Two-handed</v>
      </c>
      <c r="C44" s="18" t="str">
        <f t="shared" ca="1" si="22"/>
        <v>+1</v>
      </c>
      <c r="D44" s="18">
        <f t="shared" ca="1" si="23"/>
        <v>9</v>
      </c>
      <c r="E44" s="18" t="str">
        <f t="shared" ca="1" si="24"/>
        <v>Empathy</v>
      </c>
      <c r="F44" s="18" t="str">
        <f t="shared" ca="1" si="25"/>
        <v>Nil</v>
      </c>
      <c r="G44" s="18" t="str">
        <f ca="1">IF(AB44&lt;=VLOOKUP(D44,'power prob array'!$A:$M,2), VLOOKUP(Swords!BK44,Swords!$AS:$BB,10), "")</f>
        <v>Detect Metal</v>
      </c>
      <c r="H44" s="18" t="str">
        <f ca="1">IF(AC44&lt;=VLOOKUP(D44,'power prob array'!$A:$M,3), VLOOKUP(Swords!BL44,Swords!$AS:$BB,10), "")</f>
        <v>Detect Metal</v>
      </c>
      <c r="I44" s="18" t="str">
        <f ca="1">IF(AD44&lt;=VLOOKUP(D44,'power prob array'!$A:$M,4), VLOOKUP(Swords!BM44,Swords!$AS:$BB,10), "")</f>
        <v>Find Secret Doors</v>
      </c>
      <c r="J44" s="18" t="str">
        <f ca="1">IF(AE44&lt;=VLOOKUP(D44,'power prob array'!$A:$M,5), VLOOKUP(Swords!BN44,Swords!$AS:$BB,10), "")</f>
        <v/>
      </c>
      <c r="K44" s="18" t="str">
        <f ca="1">IF(AF44&lt;=VLOOKUP(D44,'power prob array'!$A:$M,6), VLOOKUP(Swords!BO44,Swords!$AS:$BB,10), "")</f>
        <v/>
      </c>
      <c r="L44" s="18" t="str">
        <f ca="1">IF(AG44&lt;=VLOOKUP(D44,'power prob array'!$A:$M,7), VLOOKUP(Swords!BP44,Swords!$AS:$BB,10), "")</f>
        <v/>
      </c>
      <c r="M44" s="18" t="str">
        <f t="shared" ca="1" si="26"/>
        <v>No</v>
      </c>
      <c r="N44" s="18" t="str">
        <f ca="1">IF(AI44&lt;=VLOOKUP(D44,'power prob array'!$A:$M,8), VLOOKUP(Swords!BQ44,Swords!$AS:$BC,11), "")</f>
        <v/>
      </c>
      <c r="O44" s="18" t="str">
        <f ca="1">IF(AJ44&lt;=VLOOKUP(D44,'power prob array'!$A:$M,9), VLOOKUP(Swords!BR44,Swords!$AS:$BC,11), "")</f>
        <v/>
      </c>
      <c r="P44" s="18" t="str">
        <f ca="1">IF(AK44&lt;=VLOOKUP(D44,'power prob array'!$A:$M,10), VLOOKUP(Swords!BS44,Swords!$AS:$BC,11), "")</f>
        <v/>
      </c>
      <c r="Q44" s="18" t="str">
        <f ca="1">IF(AL44&lt;=VLOOKUP(D44,'power prob array'!$A:$M,11), VLOOKUP(Swords!BT44,Swords!$AS:$BC,11), "")</f>
        <v/>
      </c>
      <c r="R44" s="18" t="str">
        <f ca="1">IF(AM44&lt;=VLOOKUP(D44,'power prob array'!$A:$M,12), VLOOKUP(Swords!BU44,Swords!$AS:$BC,11), "")</f>
        <v/>
      </c>
      <c r="S44" s="18" t="str">
        <f ca="1">IF(AN44&lt;=VLOOKUP(D44,'power prob array'!$A:$M,13), VLOOKUP(Swords!BV44,Swords!$AS:$BC,11), "")</f>
        <v/>
      </c>
      <c r="T44" s="18" t="str">
        <f t="shared" ca="1" si="8"/>
        <v>No</v>
      </c>
      <c r="U44" s="18" t="str" cm="1">
        <f t="array" aca="1" ref="U44" ca="1">_xlfn.IFS(T44="Talent", VLOOKUP(AP44,$AS:$BF,14), T44="No", "", 1=1, VLOOKUP(AP44,$AS:$BF,13))</f>
        <v/>
      </c>
      <c r="V44" s="1"/>
      <c r="W44" s="1"/>
      <c r="X44" s="1">
        <f t="shared" ca="1" si="19"/>
        <v>86</v>
      </c>
      <c r="Y44" s="1">
        <f t="shared" ca="1" si="19"/>
        <v>12</v>
      </c>
      <c r="Z44" s="1">
        <f t="shared" ca="1" si="19"/>
        <v>98</v>
      </c>
      <c r="AA44" s="1">
        <f t="shared" ca="1" si="19"/>
        <v>93</v>
      </c>
      <c r="AB44" s="1">
        <f t="shared" ca="1" si="19"/>
        <v>61</v>
      </c>
      <c r="AC44" s="1">
        <f t="shared" ca="1" si="19"/>
        <v>27</v>
      </c>
      <c r="AD44" s="1">
        <f t="shared" ca="1" si="19"/>
        <v>81</v>
      </c>
      <c r="AE44" s="1">
        <f t="shared" ca="1" si="19"/>
        <v>28</v>
      </c>
      <c r="AF44" s="1">
        <f t="shared" ca="1" si="19"/>
        <v>73</v>
      </c>
      <c r="AG44" s="1">
        <f t="shared" ca="1" si="19"/>
        <v>3</v>
      </c>
      <c r="AH44" s="1"/>
      <c r="AI44" s="1">
        <f t="shared" ca="1" si="19"/>
        <v>48</v>
      </c>
      <c r="AJ44" s="1">
        <f t="shared" ca="1" si="19"/>
        <v>15</v>
      </c>
      <c r="AK44" s="1">
        <f t="shared" ca="1" si="19"/>
        <v>42</v>
      </c>
      <c r="AL44" s="1">
        <f t="shared" ca="1" si="19"/>
        <v>95</v>
      </c>
      <c r="AM44" s="1">
        <f t="shared" ca="1" si="19"/>
        <v>27</v>
      </c>
      <c r="AN44" s="1">
        <f t="shared" ca="1" si="19"/>
        <v>15</v>
      </c>
      <c r="AO44" s="1">
        <f t="shared" ca="1" si="19"/>
        <v>43</v>
      </c>
      <c r="AP44" s="1">
        <f t="shared" ca="1" si="19"/>
        <v>59</v>
      </c>
      <c r="AQ44" s="1"/>
      <c r="AR44" s="1"/>
      <c r="AS44" s="33">
        <v>44</v>
      </c>
      <c r="AT44" s="33" t="s">
        <v>678</v>
      </c>
      <c r="AU44" s="34" t="s">
        <v>555</v>
      </c>
      <c r="AV44" s="34" t="s">
        <v>555</v>
      </c>
      <c r="AW44" s="34" t="s">
        <v>692</v>
      </c>
      <c r="AX44" s="34" t="s">
        <v>683</v>
      </c>
      <c r="AY44" s="35" t="s">
        <v>683</v>
      </c>
      <c r="AZ44" s="34" t="s">
        <v>692</v>
      </c>
      <c r="BA44" s="34" t="s">
        <v>695</v>
      </c>
      <c r="BB44" s="34" t="s">
        <v>699</v>
      </c>
      <c r="BC44" s="34" t="s">
        <v>184</v>
      </c>
      <c r="BD44" s="34" t="s">
        <v>556</v>
      </c>
      <c r="BE44" s="34" t="s">
        <v>640</v>
      </c>
      <c r="BF44" s="34" t="s">
        <v>178</v>
      </c>
      <c r="BK44" s="33">
        <f t="shared" ca="1" si="20"/>
        <v>34</v>
      </c>
      <c r="BL44" s="33">
        <f t="shared" ca="1" si="20"/>
        <v>32</v>
      </c>
      <c r="BM44" s="33">
        <f t="shared" ca="1" si="20"/>
        <v>69</v>
      </c>
      <c r="BN44" s="33">
        <f t="shared" ca="1" si="20"/>
        <v>62</v>
      </c>
      <c r="BO44" s="33">
        <f t="shared" ca="1" si="20"/>
        <v>95</v>
      </c>
      <c r="BP44" s="33">
        <f t="shared" ca="1" si="20"/>
        <v>86</v>
      </c>
      <c r="BQ44" s="33">
        <f t="shared" ca="1" si="20"/>
        <v>76</v>
      </c>
      <c r="BR44" s="33">
        <f t="shared" ca="1" si="20"/>
        <v>17</v>
      </c>
      <c r="BS44" s="33">
        <f t="shared" ca="1" si="20"/>
        <v>9</v>
      </c>
      <c r="BT44" s="33">
        <f t="shared" ca="1" si="20"/>
        <v>8</v>
      </c>
      <c r="BU44" s="33">
        <f t="shared" ca="1" si="20"/>
        <v>82</v>
      </c>
      <c r="BV44" s="33">
        <f t="shared" ca="1" si="20"/>
        <v>78</v>
      </c>
      <c r="BX44" s="36"/>
    </row>
    <row r="45" spans="1:76" x14ac:dyDescent="0.3">
      <c r="A45" s="49">
        <v>44</v>
      </c>
      <c r="B45" s="19" t="str">
        <f t="shared" ca="1" si="21"/>
        <v>Bastard</v>
      </c>
      <c r="C45" s="19" t="str">
        <f t="shared" ca="1" si="22"/>
        <v>+2</v>
      </c>
      <c r="D45" s="19">
        <f t="shared" ca="1" si="23"/>
        <v>0</v>
      </c>
      <c r="E45" s="19" t="str">
        <f t="shared" ca="1" si="24"/>
        <v>Nil</v>
      </c>
      <c r="F45" s="19" t="str">
        <f t="shared" ca="1" si="25"/>
        <v>Nil</v>
      </c>
      <c r="G45" s="19" t="str">
        <f ca="1">IF(AB45&lt;=VLOOKUP(D45,'power prob array'!$A:$M,2), VLOOKUP(Swords!BK45,Swords!$AS:$BB,10), "")</f>
        <v/>
      </c>
      <c r="H45" s="19" t="str">
        <f ca="1">IF(AC45&lt;=VLOOKUP(D45,'power prob array'!$A:$M,3), VLOOKUP(Swords!BL45,Swords!$AS:$BB,10), "")</f>
        <v/>
      </c>
      <c r="I45" s="19" t="str">
        <f ca="1">IF(AD45&lt;=VLOOKUP(D45,'power prob array'!$A:$M,4), VLOOKUP(Swords!BM45,Swords!$AS:$BB,10), "")</f>
        <v/>
      </c>
      <c r="J45" s="19" t="str">
        <f ca="1">IF(AE45&lt;=VLOOKUP(D45,'power prob array'!$A:$M,5), VLOOKUP(Swords!BN45,Swords!$AS:$BB,10), "")</f>
        <v/>
      </c>
      <c r="K45" s="19" t="str">
        <f ca="1">IF(AF45&lt;=VLOOKUP(D45,'power prob array'!$A:$M,6), VLOOKUP(Swords!BO45,Swords!$AS:$BB,10), "")</f>
        <v/>
      </c>
      <c r="L45" s="19" t="str">
        <f ca="1">IF(AG45&lt;=VLOOKUP(D45,'power prob array'!$A:$M,7), VLOOKUP(Swords!BP45,Swords!$AS:$BB,10), "")</f>
        <v/>
      </c>
      <c r="M45" s="19" t="str">
        <f t="shared" ca="1" si="26"/>
        <v>No</v>
      </c>
      <c r="N45" s="19" t="str">
        <f ca="1">IF(AI45&lt;=VLOOKUP(D45,'power prob array'!$A:$M,8), VLOOKUP(Swords!BQ45,Swords!$AS:$BC,11), "")</f>
        <v/>
      </c>
      <c r="O45" s="19" t="str">
        <f ca="1">IF(AJ45&lt;=VLOOKUP(D45,'power prob array'!$A:$M,9), VLOOKUP(Swords!BR45,Swords!$AS:$BC,11), "")</f>
        <v/>
      </c>
      <c r="P45" s="19" t="str">
        <f ca="1">IF(AK45&lt;=VLOOKUP(D45,'power prob array'!$A:$M,10), VLOOKUP(Swords!BS45,Swords!$AS:$BC,11), "")</f>
        <v/>
      </c>
      <c r="Q45" s="19" t="str">
        <f ca="1">IF(AL45&lt;=VLOOKUP(D45,'power prob array'!$A:$M,11), VLOOKUP(Swords!BT45,Swords!$AS:$BC,11), "")</f>
        <v/>
      </c>
      <c r="R45" s="19" t="str">
        <f ca="1">IF(AM45&lt;=VLOOKUP(D45,'power prob array'!$A:$M,12), VLOOKUP(Swords!BU45,Swords!$AS:$BC,11), "")</f>
        <v/>
      </c>
      <c r="S45" s="19" t="str">
        <f ca="1">IF(AN45&lt;=VLOOKUP(D45,'power prob array'!$A:$M,13), VLOOKUP(Swords!BV45,Swords!$AS:$BC,11), "")</f>
        <v/>
      </c>
      <c r="T45" s="18" t="str">
        <f t="shared" ca="1" si="8"/>
        <v>No</v>
      </c>
      <c r="U45" s="18" t="str" cm="1">
        <f t="array" aca="1" ref="U45" ca="1">_xlfn.IFS(T45="Talent", VLOOKUP(AP45,$AS:$BF,14), T45="No", "", 1=1, VLOOKUP(AP45,$AS:$BF,13))</f>
        <v/>
      </c>
      <c r="V45" s="1"/>
      <c r="W45" s="1"/>
      <c r="X45" s="1">
        <f t="shared" ca="1" si="19"/>
        <v>95</v>
      </c>
      <c r="Y45" s="1">
        <f t="shared" ca="1" si="19"/>
        <v>72</v>
      </c>
      <c r="Z45" s="1">
        <f t="shared" ca="1" si="19"/>
        <v>58</v>
      </c>
      <c r="AA45" s="1">
        <f t="shared" ca="1" si="19"/>
        <v>58</v>
      </c>
      <c r="AB45" s="1">
        <f t="shared" ca="1" si="19"/>
        <v>88</v>
      </c>
      <c r="AC45" s="1">
        <f t="shared" ca="1" si="19"/>
        <v>59</v>
      </c>
      <c r="AD45" s="1">
        <f t="shared" ca="1" si="19"/>
        <v>86</v>
      </c>
      <c r="AE45" s="1">
        <f t="shared" ca="1" si="19"/>
        <v>59</v>
      </c>
      <c r="AF45" s="1">
        <f t="shared" ca="1" si="19"/>
        <v>28</v>
      </c>
      <c r="AG45" s="1">
        <f t="shared" ca="1" si="19"/>
        <v>86</v>
      </c>
      <c r="AH45" s="1"/>
      <c r="AI45" s="1">
        <f t="shared" ca="1" si="19"/>
        <v>64</v>
      </c>
      <c r="AJ45" s="1">
        <f t="shared" ca="1" si="19"/>
        <v>35</v>
      </c>
      <c r="AK45" s="1">
        <f t="shared" ca="1" si="19"/>
        <v>93</v>
      </c>
      <c r="AL45" s="1">
        <f t="shared" ca="1" si="19"/>
        <v>99</v>
      </c>
      <c r="AM45" s="1">
        <f t="shared" ca="1" si="19"/>
        <v>2</v>
      </c>
      <c r="AN45" s="1">
        <f t="shared" ca="1" si="19"/>
        <v>45</v>
      </c>
      <c r="AO45" s="1">
        <f t="shared" ca="1" si="19"/>
        <v>91</v>
      </c>
      <c r="AP45" s="1">
        <f t="shared" ca="1" si="19"/>
        <v>9</v>
      </c>
      <c r="AQ45" s="1"/>
      <c r="AR45" s="1"/>
      <c r="AS45">
        <v>45</v>
      </c>
      <c r="AT45" t="s">
        <v>678</v>
      </c>
      <c r="AU45" s="9" t="s">
        <v>555</v>
      </c>
      <c r="AV45" s="9" t="s">
        <v>555</v>
      </c>
      <c r="AW45" s="9" t="s">
        <v>692</v>
      </c>
      <c r="AX45" s="9" t="s">
        <v>683</v>
      </c>
      <c r="AY45" s="16" t="s">
        <v>683</v>
      </c>
      <c r="AZ45" s="9" t="s">
        <v>692</v>
      </c>
      <c r="BA45" s="9" t="s">
        <v>695</v>
      </c>
      <c r="BB45" s="9" t="s">
        <v>699</v>
      </c>
      <c r="BC45" s="9" t="s">
        <v>184</v>
      </c>
      <c r="BD45" s="9" t="s">
        <v>556</v>
      </c>
      <c r="BE45" s="9" t="s">
        <v>640</v>
      </c>
      <c r="BF45" s="9" t="s">
        <v>178</v>
      </c>
      <c r="BK45">
        <f t="shared" ca="1" si="20"/>
        <v>76</v>
      </c>
      <c r="BL45">
        <f t="shared" ca="1" si="20"/>
        <v>32</v>
      </c>
      <c r="BM45">
        <f t="shared" ca="1" si="20"/>
        <v>91</v>
      </c>
      <c r="BN45">
        <f t="shared" ca="1" si="20"/>
        <v>37</v>
      </c>
      <c r="BO45">
        <f t="shared" ca="1" si="20"/>
        <v>31</v>
      </c>
      <c r="BP45">
        <f t="shared" ca="1" si="20"/>
        <v>14</v>
      </c>
      <c r="BQ45">
        <f t="shared" ca="1" si="20"/>
        <v>48</v>
      </c>
      <c r="BR45">
        <f t="shared" ca="1" si="20"/>
        <v>42</v>
      </c>
      <c r="BS45">
        <f t="shared" ca="1" si="20"/>
        <v>84</v>
      </c>
      <c r="BT45">
        <f t="shared" ca="1" si="20"/>
        <v>25</v>
      </c>
      <c r="BU45">
        <f t="shared" ca="1" si="20"/>
        <v>44</v>
      </c>
      <c r="BV45">
        <f t="shared" ca="1" si="20"/>
        <v>47</v>
      </c>
    </row>
    <row r="46" spans="1:76" s="33" customFormat="1" x14ac:dyDescent="0.3">
      <c r="A46" s="49">
        <v>45</v>
      </c>
      <c r="B46" s="18" t="str">
        <f t="shared" ca="1" si="21"/>
        <v>Normal</v>
      </c>
      <c r="C46" s="18" t="str">
        <f t="shared" ca="1" si="22"/>
        <v>+1</v>
      </c>
      <c r="D46" s="18">
        <f t="shared" ca="1" si="23"/>
        <v>0</v>
      </c>
      <c r="E46" s="18" t="str">
        <f t="shared" ca="1" si="24"/>
        <v>Nil</v>
      </c>
      <c r="F46" s="18" t="str">
        <f t="shared" ca="1" si="25"/>
        <v>Nil</v>
      </c>
      <c r="G46" s="18" t="str">
        <f ca="1">IF(AB46&lt;=VLOOKUP(D46,'power prob array'!$A:$M,2), VLOOKUP(Swords!BK46,Swords!$AS:$BB,10), "")</f>
        <v/>
      </c>
      <c r="H46" s="18" t="str">
        <f ca="1">IF(AC46&lt;=VLOOKUP(D46,'power prob array'!$A:$M,3), VLOOKUP(Swords!BL46,Swords!$AS:$BB,10), "")</f>
        <v/>
      </c>
      <c r="I46" s="18" t="str">
        <f ca="1">IF(AD46&lt;=VLOOKUP(D46,'power prob array'!$A:$M,4), VLOOKUP(Swords!BM46,Swords!$AS:$BB,10), "")</f>
        <v/>
      </c>
      <c r="J46" s="18" t="str">
        <f ca="1">IF(AE46&lt;=VLOOKUP(D46,'power prob array'!$A:$M,5), VLOOKUP(Swords!BN46,Swords!$AS:$BB,10), "")</f>
        <v/>
      </c>
      <c r="K46" s="18" t="str">
        <f ca="1">IF(AF46&lt;=VLOOKUP(D46,'power prob array'!$A:$M,6), VLOOKUP(Swords!BO46,Swords!$AS:$BB,10), "")</f>
        <v/>
      </c>
      <c r="L46" s="18" t="str">
        <f ca="1">IF(AG46&lt;=VLOOKUP(D46,'power prob array'!$A:$M,7), VLOOKUP(Swords!BP46,Swords!$AS:$BB,10), "")</f>
        <v/>
      </c>
      <c r="M46" s="18" t="str">
        <f t="shared" ca="1" si="26"/>
        <v>No</v>
      </c>
      <c r="N46" s="18" t="str">
        <f ca="1">IF(AI46&lt;=VLOOKUP(D46,'power prob array'!$A:$M,8), VLOOKUP(Swords!BQ46,Swords!$AS:$BC,11), "")</f>
        <v/>
      </c>
      <c r="O46" s="18" t="str">
        <f ca="1">IF(AJ46&lt;=VLOOKUP(D46,'power prob array'!$A:$M,9), VLOOKUP(Swords!BR46,Swords!$AS:$BC,11), "")</f>
        <v/>
      </c>
      <c r="P46" s="18" t="str">
        <f ca="1">IF(AK46&lt;=VLOOKUP(D46,'power prob array'!$A:$M,10), VLOOKUP(Swords!BS46,Swords!$AS:$BC,11), "")</f>
        <v/>
      </c>
      <c r="Q46" s="18" t="str">
        <f ca="1">IF(AL46&lt;=VLOOKUP(D46,'power prob array'!$A:$M,11), VLOOKUP(Swords!BT46,Swords!$AS:$BC,11), "")</f>
        <v/>
      </c>
      <c r="R46" s="18" t="str">
        <f ca="1">IF(AM46&lt;=VLOOKUP(D46,'power prob array'!$A:$M,12), VLOOKUP(Swords!BU46,Swords!$AS:$BC,11), "")</f>
        <v/>
      </c>
      <c r="S46" s="18" t="str">
        <f ca="1">IF(AN46&lt;=VLOOKUP(D46,'power prob array'!$A:$M,13), VLOOKUP(Swords!BV46,Swords!$AS:$BC,11), "")</f>
        <v/>
      </c>
      <c r="T46" s="18" t="str">
        <f t="shared" ca="1" si="8"/>
        <v>Talent</v>
      </c>
      <c r="U46" s="18" t="str" cm="1">
        <f t="array" aca="1" ref="U46" ca="1">_xlfn.IFS(T46="Talent", VLOOKUP(AP46,$AS:$BF,14), T46="No", "", 1=1, VLOOKUP(AP46,$AS:$BF,13))</f>
        <v>Watching</v>
      </c>
      <c r="V46" s="1"/>
      <c r="W46" s="1"/>
      <c r="X46" s="1">
        <f t="shared" ca="1" si="19"/>
        <v>65</v>
      </c>
      <c r="Y46" s="1">
        <f t="shared" ca="1" si="19"/>
        <v>11</v>
      </c>
      <c r="Z46" s="1">
        <f t="shared" ca="1" si="19"/>
        <v>87</v>
      </c>
      <c r="AA46" s="1">
        <f t="shared" ca="1" si="19"/>
        <v>14</v>
      </c>
      <c r="AB46" s="1">
        <f t="shared" ca="1" si="19"/>
        <v>87</v>
      </c>
      <c r="AC46" s="1">
        <f t="shared" ca="1" si="19"/>
        <v>15</v>
      </c>
      <c r="AD46" s="1">
        <f t="shared" ca="1" si="19"/>
        <v>26</v>
      </c>
      <c r="AE46" s="1">
        <f t="shared" ca="1" si="19"/>
        <v>23</v>
      </c>
      <c r="AF46" s="1">
        <f t="shared" ca="1" si="19"/>
        <v>29</v>
      </c>
      <c r="AG46" s="1">
        <f t="shared" ca="1" si="19"/>
        <v>28</v>
      </c>
      <c r="AH46" s="1"/>
      <c r="AI46" s="1">
        <f t="shared" ca="1" si="19"/>
        <v>6</v>
      </c>
      <c r="AJ46" s="1">
        <f t="shared" ca="1" si="19"/>
        <v>54</v>
      </c>
      <c r="AK46" s="1">
        <f t="shared" ca="1" si="19"/>
        <v>94</v>
      </c>
      <c r="AL46" s="1">
        <f t="shared" ca="1" si="19"/>
        <v>31</v>
      </c>
      <c r="AM46" s="1">
        <f t="shared" ca="1" si="19"/>
        <v>70</v>
      </c>
      <c r="AN46" s="1">
        <f t="shared" ca="1" si="19"/>
        <v>57</v>
      </c>
      <c r="AO46" s="1">
        <f t="shared" ca="1" si="19"/>
        <v>25</v>
      </c>
      <c r="AP46" s="1">
        <f t="shared" ca="1" si="19"/>
        <v>96</v>
      </c>
      <c r="AQ46" s="1"/>
      <c r="AR46" s="1"/>
      <c r="AS46" s="33">
        <v>46</v>
      </c>
      <c r="AT46" s="33" t="s">
        <v>678</v>
      </c>
      <c r="AU46" s="34" t="s">
        <v>555</v>
      </c>
      <c r="AV46" s="34" t="s">
        <v>555</v>
      </c>
      <c r="AW46" s="34" t="s">
        <v>692</v>
      </c>
      <c r="AX46" s="34" t="s">
        <v>683</v>
      </c>
      <c r="AY46" s="35" t="s">
        <v>683</v>
      </c>
      <c r="AZ46" s="34" t="s">
        <v>692</v>
      </c>
      <c r="BA46" s="34" t="s">
        <v>695</v>
      </c>
      <c r="BB46" s="34" t="s">
        <v>699</v>
      </c>
      <c r="BC46" s="34" t="s">
        <v>714</v>
      </c>
      <c r="BD46" s="34" t="s">
        <v>556</v>
      </c>
      <c r="BE46" s="34" t="s">
        <v>640</v>
      </c>
      <c r="BF46" s="34" t="s">
        <v>178</v>
      </c>
      <c r="BK46" s="33">
        <f t="shared" ca="1" si="20"/>
        <v>35</v>
      </c>
      <c r="BL46" s="33">
        <f t="shared" ca="1" si="20"/>
        <v>59</v>
      </c>
      <c r="BM46" s="33">
        <f t="shared" ca="1" si="20"/>
        <v>73</v>
      </c>
      <c r="BN46" s="33">
        <f t="shared" ca="1" si="20"/>
        <v>71</v>
      </c>
      <c r="BO46" s="33">
        <f t="shared" ca="1" si="20"/>
        <v>63</v>
      </c>
      <c r="BP46" s="33">
        <f t="shared" ca="1" si="20"/>
        <v>5</v>
      </c>
      <c r="BQ46" s="33">
        <f t="shared" ca="1" si="20"/>
        <v>45</v>
      </c>
      <c r="BR46" s="33">
        <f t="shared" ca="1" si="20"/>
        <v>93</v>
      </c>
      <c r="BS46" s="33">
        <f t="shared" ca="1" si="20"/>
        <v>85</v>
      </c>
      <c r="BT46" s="33">
        <f t="shared" ca="1" si="20"/>
        <v>77</v>
      </c>
      <c r="BU46" s="33">
        <f t="shared" ca="1" si="20"/>
        <v>27</v>
      </c>
      <c r="BV46" s="33">
        <f t="shared" ca="1" si="20"/>
        <v>68</v>
      </c>
      <c r="BX46" s="36"/>
    </row>
    <row r="47" spans="1:76" x14ac:dyDescent="0.3">
      <c r="A47" s="49">
        <v>46</v>
      </c>
      <c r="B47" s="19" t="str">
        <f t="shared" ca="1" si="21"/>
        <v>Short</v>
      </c>
      <c r="C47" s="19" t="str">
        <f t="shared" ca="1" si="22"/>
        <v>+1</v>
      </c>
      <c r="D47" s="19">
        <f t="shared" ca="1" si="23"/>
        <v>0</v>
      </c>
      <c r="E47" s="19" t="str">
        <f t="shared" ca="1" si="24"/>
        <v>Nil</v>
      </c>
      <c r="F47" s="19" t="str">
        <f t="shared" ca="1" si="25"/>
        <v>Nil</v>
      </c>
      <c r="G47" s="19" t="str">
        <f ca="1">IF(AB47&lt;=VLOOKUP(D47,'power prob array'!$A:$M,2), VLOOKUP(Swords!BK47,Swords!$AS:$BB,10), "")</f>
        <v/>
      </c>
      <c r="H47" s="19" t="str">
        <f ca="1">IF(AC47&lt;=VLOOKUP(D47,'power prob array'!$A:$M,3), VLOOKUP(Swords!BL47,Swords!$AS:$BB,10), "")</f>
        <v/>
      </c>
      <c r="I47" s="19" t="str">
        <f ca="1">IF(AD47&lt;=VLOOKUP(D47,'power prob array'!$A:$M,4), VLOOKUP(Swords!BM47,Swords!$AS:$BB,10), "")</f>
        <v/>
      </c>
      <c r="J47" s="19" t="str">
        <f ca="1">IF(AE47&lt;=VLOOKUP(D47,'power prob array'!$A:$M,5), VLOOKUP(Swords!BN47,Swords!$AS:$BB,10), "")</f>
        <v/>
      </c>
      <c r="K47" s="19" t="str">
        <f ca="1">IF(AF47&lt;=VLOOKUP(D47,'power prob array'!$A:$M,6), VLOOKUP(Swords!BO47,Swords!$AS:$BB,10), "")</f>
        <v/>
      </c>
      <c r="L47" s="19" t="str">
        <f ca="1">IF(AG47&lt;=VLOOKUP(D47,'power prob array'!$A:$M,7), VLOOKUP(Swords!BP47,Swords!$AS:$BB,10), "")</f>
        <v/>
      </c>
      <c r="M47" s="19" t="str">
        <f t="shared" ca="1" si="26"/>
        <v>No</v>
      </c>
      <c r="N47" s="19" t="str">
        <f ca="1">IF(AI47&lt;=VLOOKUP(D47,'power prob array'!$A:$M,8), VLOOKUP(Swords!BQ47,Swords!$AS:$BC,11), "")</f>
        <v/>
      </c>
      <c r="O47" s="19" t="str">
        <f ca="1">IF(AJ47&lt;=VLOOKUP(D47,'power prob array'!$A:$M,9), VLOOKUP(Swords!BR47,Swords!$AS:$BC,11), "")</f>
        <v/>
      </c>
      <c r="P47" s="19" t="str">
        <f ca="1">IF(AK47&lt;=VLOOKUP(D47,'power prob array'!$A:$M,10), VLOOKUP(Swords!BS47,Swords!$AS:$BC,11), "")</f>
        <v/>
      </c>
      <c r="Q47" s="19" t="str">
        <f ca="1">IF(AL47&lt;=VLOOKUP(D47,'power prob array'!$A:$M,11), VLOOKUP(Swords!BT47,Swords!$AS:$BC,11), "")</f>
        <v/>
      </c>
      <c r="R47" s="19" t="str">
        <f ca="1">IF(AM47&lt;=VLOOKUP(D47,'power prob array'!$A:$M,12), VLOOKUP(Swords!BU47,Swords!$AS:$BC,11), "")</f>
        <v/>
      </c>
      <c r="S47" s="19" t="str">
        <f ca="1">IF(AN47&lt;=VLOOKUP(D47,'power prob array'!$A:$M,13), VLOOKUP(Swords!BV47,Swords!$AS:$BC,11), "")</f>
        <v/>
      </c>
      <c r="T47" s="18" t="str">
        <f t="shared" ca="1" si="8"/>
        <v>+3</v>
      </c>
      <c r="U47" s="18" t="str" cm="1">
        <f t="array" aca="1" ref="U47" ca="1">_xlfn.IFS(T47="Talent", VLOOKUP(AP47,$AS:$BF,14), T47="No", "", 1=1, VLOOKUP(AP47,$AS:$BF,13))</f>
        <v>Reptiles and Dinosaurs</v>
      </c>
      <c r="V47" s="1"/>
      <c r="W47" s="1"/>
      <c r="X47" s="1">
        <f t="shared" ca="1" si="19"/>
        <v>76</v>
      </c>
      <c r="Y47" s="1">
        <f t="shared" ca="1" si="19"/>
        <v>35</v>
      </c>
      <c r="Z47" s="1">
        <f t="shared" ca="1" si="19"/>
        <v>85</v>
      </c>
      <c r="AA47" s="1">
        <f t="shared" ref="AA47:AP100" ca="1" si="27">RANDBETWEEN(1,100)</f>
        <v>67</v>
      </c>
      <c r="AB47" s="1">
        <f t="shared" ca="1" si="27"/>
        <v>87</v>
      </c>
      <c r="AC47" s="1">
        <f t="shared" ca="1" si="27"/>
        <v>1</v>
      </c>
      <c r="AD47" s="1">
        <f t="shared" ca="1" si="27"/>
        <v>51</v>
      </c>
      <c r="AE47" s="1">
        <f t="shared" ca="1" si="27"/>
        <v>43</v>
      </c>
      <c r="AF47" s="1">
        <f t="shared" ca="1" si="27"/>
        <v>78</v>
      </c>
      <c r="AG47" s="1">
        <f t="shared" ca="1" si="27"/>
        <v>86</v>
      </c>
      <c r="AH47" s="1"/>
      <c r="AI47" s="1">
        <f t="shared" ca="1" si="27"/>
        <v>76</v>
      </c>
      <c r="AJ47" s="1">
        <f t="shared" ca="1" si="27"/>
        <v>74</v>
      </c>
      <c r="AK47" s="1">
        <f t="shared" ca="1" si="27"/>
        <v>56</v>
      </c>
      <c r="AL47" s="1">
        <f t="shared" ca="1" si="27"/>
        <v>23</v>
      </c>
      <c r="AM47" s="1">
        <f t="shared" ca="1" si="27"/>
        <v>11</v>
      </c>
      <c r="AN47" s="1">
        <f t="shared" ca="1" si="27"/>
        <v>90</v>
      </c>
      <c r="AO47" s="1">
        <f t="shared" ca="1" si="27"/>
        <v>25</v>
      </c>
      <c r="AP47" s="1">
        <f t="shared" ca="1" si="27"/>
        <v>60</v>
      </c>
      <c r="AQ47" s="1"/>
      <c r="AR47" s="1"/>
      <c r="AS47">
        <v>47</v>
      </c>
      <c r="AT47" t="s">
        <v>678</v>
      </c>
      <c r="AU47" s="9" t="s">
        <v>555</v>
      </c>
      <c r="AV47" s="9" t="s">
        <v>555</v>
      </c>
      <c r="AW47" s="9" t="s">
        <v>692</v>
      </c>
      <c r="AX47" s="9" t="s">
        <v>683</v>
      </c>
      <c r="AY47" s="16" t="s">
        <v>683</v>
      </c>
      <c r="AZ47" s="9" t="s">
        <v>692</v>
      </c>
      <c r="BA47" s="9" t="s">
        <v>695</v>
      </c>
      <c r="BB47" s="9" t="s">
        <v>699</v>
      </c>
      <c r="BC47" s="9" t="s">
        <v>714</v>
      </c>
      <c r="BD47" s="9" t="s">
        <v>556</v>
      </c>
      <c r="BE47" s="9" t="s">
        <v>640</v>
      </c>
      <c r="BF47" s="9" t="s">
        <v>184</v>
      </c>
      <c r="BK47">
        <f t="shared" ca="1" si="20"/>
        <v>5</v>
      </c>
      <c r="BL47">
        <f t="shared" ca="1" si="20"/>
        <v>22</v>
      </c>
      <c r="BM47">
        <f t="shared" ca="1" si="20"/>
        <v>73</v>
      </c>
      <c r="BN47">
        <f t="shared" ca="1" si="20"/>
        <v>78</v>
      </c>
      <c r="BO47">
        <f t="shared" ca="1" si="20"/>
        <v>19</v>
      </c>
      <c r="BP47">
        <f t="shared" ca="1" si="20"/>
        <v>30</v>
      </c>
      <c r="BQ47">
        <f t="shared" ca="1" si="20"/>
        <v>6</v>
      </c>
      <c r="BR47">
        <f t="shared" ca="1" si="20"/>
        <v>10</v>
      </c>
      <c r="BS47">
        <f t="shared" ca="1" si="20"/>
        <v>88</v>
      </c>
      <c r="BT47">
        <f t="shared" ca="1" si="20"/>
        <v>63</v>
      </c>
      <c r="BU47">
        <f t="shared" ca="1" si="20"/>
        <v>75</v>
      </c>
      <c r="BV47">
        <f t="shared" ca="1" si="20"/>
        <v>59</v>
      </c>
    </row>
    <row r="48" spans="1:76" s="33" customFormat="1" x14ac:dyDescent="0.3">
      <c r="A48" s="49">
        <v>47</v>
      </c>
      <c r="B48" s="18" t="str">
        <f t="shared" ca="1" si="21"/>
        <v>Normal</v>
      </c>
      <c r="C48" s="18" t="str">
        <f t="shared" ca="1" si="22"/>
        <v>+1</v>
      </c>
      <c r="D48" s="18">
        <f t="shared" ca="1" si="23"/>
        <v>0</v>
      </c>
      <c r="E48" s="18" t="str">
        <f t="shared" ca="1" si="24"/>
        <v>Nil</v>
      </c>
      <c r="F48" s="18" t="str">
        <f t="shared" ca="1" si="25"/>
        <v>Nil</v>
      </c>
      <c r="G48" s="18" t="str">
        <f ca="1">IF(AB48&lt;=VLOOKUP(D48,'power prob array'!$A:$M,2), VLOOKUP(Swords!BK48,Swords!$AS:$BB,10), "")</f>
        <v/>
      </c>
      <c r="H48" s="18" t="str">
        <f ca="1">IF(AC48&lt;=VLOOKUP(D48,'power prob array'!$A:$M,3), VLOOKUP(Swords!BL48,Swords!$AS:$BB,10), "")</f>
        <v/>
      </c>
      <c r="I48" s="18" t="str">
        <f ca="1">IF(AD48&lt;=VLOOKUP(D48,'power prob array'!$A:$M,4), VLOOKUP(Swords!BM48,Swords!$AS:$BB,10), "")</f>
        <v/>
      </c>
      <c r="J48" s="18" t="str">
        <f ca="1">IF(AE48&lt;=VLOOKUP(D48,'power prob array'!$A:$M,5), VLOOKUP(Swords!BN48,Swords!$AS:$BB,10), "")</f>
        <v/>
      </c>
      <c r="K48" s="18" t="str">
        <f ca="1">IF(AF48&lt;=VLOOKUP(D48,'power prob array'!$A:$M,6), VLOOKUP(Swords!BO48,Swords!$AS:$BB,10), "")</f>
        <v/>
      </c>
      <c r="L48" s="18" t="str">
        <f ca="1">IF(AG48&lt;=VLOOKUP(D48,'power prob array'!$A:$M,7), VLOOKUP(Swords!BP48,Swords!$AS:$BB,10), "")</f>
        <v/>
      </c>
      <c r="M48" s="18" t="str">
        <f t="shared" ca="1" si="26"/>
        <v>No</v>
      </c>
      <c r="N48" s="18" t="str">
        <f ca="1">IF(AI48&lt;=VLOOKUP(D48,'power prob array'!$A:$M,8), VLOOKUP(Swords!BQ48,Swords!$AS:$BC,11), "")</f>
        <v/>
      </c>
      <c r="O48" s="18" t="str">
        <f ca="1">IF(AJ48&lt;=VLOOKUP(D48,'power prob array'!$A:$M,9), VLOOKUP(Swords!BR48,Swords!$AS:$BC,11), "")</f>
        <v/>
      </c>
      <c r="P48" s="18" t="str">
        <f ca="1">IF(AK48&lt;=VLOOKUP(D48,'power prob array'!$A:$M,10), VLOOKUP(Swords!BS48,Swords!$AS:$BC,11), "")</f>
        <v/>
      </c>
      <c r="Q48" s="18" t="str">
        <f ca="1">IF(AL48&lt;=VLOOKUP(D48,'power prob array'!$A:$M,11), VLOOKUP(Swords!BT48,Swords!$AS:$BC,11), "")</f>
        <v/>
      </c>
      <c r="R48" s="18" t="str">
        <f ca="1">IF(AM48&lt;=VLOOKUP(D48,'power prob array'!$A:$M,12), VLOOKUP(Swords!BU48,Swords!$AS:$BC,11), "")</f>
        <v/>
      </c>
      <c r="S48" s="18" t="str">
        <f ca="1">IF(AN48&lt;=VLOOKUP(D48,'power prob array'!$A:$M,13), VLOOKUP(Swords!BV48,Swords!$AS:$BC,11), "")</f>
        <v/>
      </c>
      <c r="T48" s="18" t="str">
        <f t="shared" ca="1" si="8"/>
        <v>No</v>
      </c>
      <c r="U48" s="18" t="str" cm="1">
        <f t="array" aca="1" ref="U48" ca="1">_xlfn.IFS(T48="Talent", VLOOKUP(AP48,$AS:$BF,14), T48="No", "", 1=1, VLOOKUP(AP48,$AS:$BF,13))</f>
        <v/>
      </c>
      <c r="V48" s="1"/>
      <c r="W48" s="1"/>
      <c r="X48" s="1">
        <f t="shared" ref="X48:AM64" ca="1" si="28">RANDBETWEEN(1,100)</f>
        <v>15</v>
      </c>
      <c r="Y48" s="1">
        <f t="shared" ca="1" si="28"/>
        <v>8</v>
      </c>
      <c r="Z48" s="1">
        <f t="shared" ca="1" si="28"/>
        <v>60</v>
      </c>
      <c r="AA48" s="1">
        <f t="shared" ca="1" si="28"/>
        <v>9</v>
      </c>
      <c r="AB48" s="1">
        <f t="shared" ca="1" si="28"/>
        <v>9</v>
      </c>
      <c r="AC48" s="1">
        <f t="shared" ca="1" si="28"/>
        <v>77</v>
      </c>
      <c r="AD48" s="1">
        <f t="shared" ca="1" si="28"/>
        <v>70</v>
      </c>
      <c r="AE48" s="1">
        <f t="shared" ca="1" si="28"/>
        <v>74</v>
      </c>
      <c r="AF48" s="1">
        <f t="shared" ca="1" si="28"/>
        <v>3</v>
      </c>
      <c r="AG48" s="1">
        <f t="shared" ca="1" si="28"/>
        <v>90</v>
      </c>
      <c r="AH48" s="1"/>
      <c r="AI48" s="1">
        <f t="shared" ca="1" si="28"/>
        <v>92</v>
      </c>
      <c r="AJ48" s="1">
        <f t="shared" ca="1" si="28"/>
        <v>75</v>
      </c>
      <c r="AK48" s="1">
        <f t="shared" ca="1" si="28"/>
        <v>18</v>
      </c>
      <c r="AL48" s="1">
        <f t="shared" ca="1" si="28"/>
        <v>46</v>
      </c>
      <c r="AM48" s="1">
        <f t="shared" ca="1" si="28"/>
        <v>68</v>
      </c>
      <c r="AN48" s="1">
        <f t="shared" ca="1" si="27"/>
        <v>62</v>
      </c>
      <c r="AO48" s="1">
        <f t="shared" ca="1" si="27"/>
        <v>60</v>
      </c>
      <c r="AP48" s="1">
        <f t="shared" ca="1" si="27"/>
        <v>66</v>
      </c>
      <c r="AQ48" s="1"/>
      <c r="AR48" s="1"/>
      <c r="AS48" s="33">
        <v>48</v>
      </c>
      <c r="AT48" s="33" t="s">
        <v>678</v>
      </c>
      <c r="AU48" s="34" t="s">
        <v>555</v>
      </c>
      <c r="AV48" s="34" t="s">
        <v>555</v>
      </c>
      <c r="AW48" s="34" t="s">
        <v>692</v>
      </c>
      <c r="AX48" s="34" t="s">
        <v>683</v>
      </c>
      <c r="AY48" s="35" t="s">
        <v>683</v>
      </c>
      <c r="AZ48" s="34" t="s">
        <v>692</v>
      </c>
      <c r="BA48" s="34" t="s">
        <v>695</v>
      </c>
      <c r="BB48" s="34" t="s">
        <v>699</v>
      </c>
      <c r="BC48" s="34" t="s">
        <v>714</v>
      </c>
      <c r="BD48" s="34" t="s">
        <v>556</v>
      </c>
      <c r="BE48" s="34" t="s">
        <v>640</v>
      </c>
      <c r="BF48" s="34" t="s">
        <v>184</v>
      </c>
      <c r="BK48" s="33">
        <f t="shared" ca="1" si="20"/>
        <v>63</v>
      </c>
      <c r="BL48" s="33">
        <f t="shared" ca="1" si="20"/>
        <v>92</v>
      </c>
      <c r="BM48" s="33">
        <f t="shared" ca="1" si="20"/>
        <v>84</v>
      </c>
      <c r="BN48" s="33">
        <f t="shared" ca="1" si="20"/>
        <v>80</v>
      </c>
      <c r="BO48" s="33">
        <f t="shared" ca="1" si="20"/>
        <v>64</v>
      </c>
      <c r="BP48" s="33">
        <f t="shared" ca="1" si="20"/>
        <v>45</v>
      </c>
      <c r="BQ48" s="33">
        <f t="shared" ca="1" si="20"/>
        <v>77</v>
      </c>
      <c r="BR48" s="33">
        <f t="shared" ca="1" si="20"/>
        <v>19</v>
      </c>
      <c r="BS48" s="33">
        <f t="shared" ca="1" si="20"/>
        <v>27</v>
      </c>
      <c r="BT48" s="33">
        <f t="shared" ca="1" si="20"/>
        <v>100</v>
      </c>
      <c r="BU48" s="33">
        <f t="shared" ca="1" si="20"/>
        <v>98</v>
      </c>
      <c r="BV48" s="33">
        <f t="shared" ca="1" si="20"/>
        <v>29</v>
      </c>
      <c r="BX48" s="36"/>
    </row>
    <row r="49" spans="1:76" x14ac:dyDescent="0.3">
      <c r="A49" s="49">
        <v>48</v>
      </c>
      <c r="B49" s="19" t="str">
        <f t="shared" ca="1" si="21"/>
        <v>Normal</v>
      </c>
      <c r="C49" s="19" t="str">
        <f t="shared" ca="1" si="22"/>
        <v>+1</v>
      </c>
      <c r="D49" s="19">
        <f t="shared" ca="1" si="23"/>
        <v>0</v>
      </c>
      <c r="E49" s="19" t="str">
        <f t="shared" ca="1" si="24"/>
        <v>Nil</v>
      </c>
      <c r="F49" s="19" t="str">
        <f t="shared" ca="1" si="25"/>
        <v>Nil</v>
      </c>
      <c r="G49" s="19" t="str">
        <f ca="1">IF(AB49&lt;=VLOOKUP(D49,'power prob array'!$A:$M,2), VLOOKUP(Swords!BK49,Swords!$AS:$BB,10), "")</f>
        <v/>
      </c>
      <c r="H49" s="19" t="str">
        <f ca="1">IF(AC49&lt;=VLOOKUP(D49,'power prob array'!$A:$M,3), VLOOKUP(Swords!BL49,Swords!$AS:$BB,10), "")</f>
        <v/>
      </c>
      <c r="I49" s="19" t="str">
        <f ca="1">IF(AD49&lt;=VLOOKUP(D49,'power prob array'!$A:$M,4), VLOOKUP(Swords!BM49,Swords!$AS:$BB,10), "")</f>
        <v/>
      </c>
      <c r="J49" s="19" t="str">
        <f ca="1">IF(AE49&lt;=VLOOKUP(D49,'power prob array'!$A:$M,5), VLOOKUP(Swords!BN49,Swords!$AS:$BB,10), "")</f>
        <v/>
      </c>
      <c r="K49" s="19" t="str">
        <f ca="1">IF(AF49&lt;=VLOOKUP(D49,'power prob array'!$A:$M,6), VLOOKUP(Swords!BO49,Swords!$AS:$BB,10), "")</f>
        <v/>
      </c>
      <c r="L49" s="19" t="str">
        <f ca="1">IF(AG49&lt;=VLOOKUP(D49,'power prob array'!$A:$M,7), VLOOKUP(Swords!BP49,Swords!$AS:$BB,10), "")</f>
        <v/>
      </c>
      <c r="M49" s="19" t="str">
        <f t="shared" ca="1" si="26"/>
        <v>No</v>
      </c>
      <c r="N49" s="19" t="str">
        <f ca="1">IF(AI49&lt;=VLOOKUP(D49,'power prob array'!$A:$M,8), VLOOKUP(Swords!BQ49,Swords!$AS:$BC,11), "")</f>
        <v/>
      </c>
      <c r="O49" s="19" t="str">
        <f ca="1">IF(AJ49&lt;=VLOOKUP(D49,'power prob array'!$A:$M,9), VLOOKUP(Swords!BR49,Swords!$AS:$BC,11), "")</f>
        <v/>
      </c>
      <c r="P49" s="19" t="str">
        <f ca="1">IF(AK49&lt;=VLOOKUP(D49,'power prob array'!$A:$M,10), VLOOKUP(Swords!BS49,Swords!$AS:$BC,11), "")</f>
        <v/>
      </c>
      <c r="Q49" s="19" t="str">
        <f ca="1">IF(AL49&lt;=VLOOKUP(D49,'power prob array'!$A:$M,11), VLOOKUP(Swords!BT49,Swords!$AS:$BC,11), "")</f>
        <v/>
      </c>
      <c r="R49" s="19" t="str">
        <f ca="1">IF(AM49&lt;=VLOOKUP(D49,'power prob array'!$A:$M,12), VLOOKUP(Swords!BU49,Swords!$AS:$BC,11), "")</f>
        <v/>
      </c>
      <c r="S49" s="19" t="str">
        <f ca="1">IF(AN49&lt;=VLOOKUP(D49,'power prob array'!$A:$M,13), VLOOKUP(Swords!BV49,Swords!$AS:$BC,11), "")</f>
        <v/>
      </c>
      <c r="T49" s="18" t="str">
        <f t="shared" ca="1" si="8"/>
        <v>No</v>
      </c>
      <c r="U49" s="18" t="str" cm="1">
        <f t="array" aca="1" ref="U49" ca="1">_xlfn.IFS(T49="Talent", VLOOKUP(AP49,$AS:$BF,14), T49="No", "", 1=1, VLOOKUP(AP49,$AS:$BF,13))</f>
        <v/>
      </c>
      <c r="V49" s="1"/>
      <c r="W49" s="1"/>
      <c r="X49" s="1">
        <f t="shared" ca="1" si="28"/>
        <v>53</v>
      </c>
      <c r="Y49" s="1">
        <f t="shared" ca="1" si="28"/>
        <v>46</v>
      </c>
      <c r="Z49" s="1">
        <f t="shared" ca="1" si="28"/>
        <v>44</v>
      </c>
      <c r="AA49" s="1">
        <f t="shared" ca="1" si="28"/>
        <v>29</v>
      </c>
      <c r="AB49" s="1">
        <f t="shared" ca="1" si="28"/>
        <v>31</v>
      </c>
      <c r="AC49" s="1">
        <f t="shared" ca="1" si="28"/>
        <v>38</v>
      </c>
      <c r="AD49" s="1">
        <f t="shared" ca="1" si="28"/>
        <v>67</v>
      </c>
      <c r="AE49" s="1">
        <f t="shared" ca="1" si="28"/>
        <v>70</v>
      </c>
      <c r="AF49" s="1">
        <f t="shared" ca="1" si="28"/>
        <v>33</v>
      </c>
      <c r="AG49" s="1">
        <f t="shared" ca="1" si="28"/>
        <v>52</v>
      </c>
      <c r="AH49" s="1"/>
      <c r="AI49" s="1">
        <f t="shared" ca="1" si="28"/>
        <v>24</v>
      </c>
      <c r="AJ49" s="1">
        <f t="shared" ca="1" si="28"/>
        <v>73</v>
      </c>
      <c r="AK49" s="1">
        <f t="shared" ca="1" si="28"/>
        <v>94</v>
      </c>
      <c r="AL49" s="1">
        <f t="shared" ca="1" si="28"/>
        <v>23</v>
      </c>
      <c r="AM49" s="1">
        <f t="shared" ca="1" si="28"/>
        <v>23</v>
      </c>
      <c r="AN49" s="1">
        <f t="shared" ca="1" si="27"/>
        <v>56</v>
      </c>
      <c r="AO49" s="1">
        <f t="shared" ca="1" si="27"/>
        <v>91</v>
      </c>
      <c r="AP49" s="1">
        <f t="shared" ca="1" si="27"/>
        <v>48</v>
      </c>
      <c r="AQ49" s="1"/>
      <c r="AR49" s="1"/>
      <c r="AS49">
        <v>49</v>
      </c>
      <c r="AT49" t="s">
        <v>678</v>
      </c>
      <c r="AU49" s="9" t="s">
        <v>555</v>
      </c>
      <c r="AV49" s="9" t="s">
        <v>555</v>
      </c>
      <c r="AW49" s="9" t="s">
        <v>692</v>
      </c>
      <c r="AX49" s="9" t="s">
        <v>683</v>
      </c>
      <c r="AY49" s="16" t="s">
        <v>683</v>
      </c>
      <c r="AZ49" s="9" t="s">
        <v>692</v>
      </c>
      <c r="BA49" s="9" t="s">
        <v>695</v>
      </c>
      <c r="BB49" s="9" t="s">
        <v>699</v>
      </c>
      <c r="BC49" s="9" t="s">
        <v>714</v>
      </c>
      <c r="BD49" s="9" t="s">
        <v>556</v>
      </c>
      <c r="BE49" s="9" t="s">
        <v>641</v>
      </c>
      <c r="BF49" s="9" t="s">
        <v>184</v>
      </c>
      <c r="BK49">
        <f t="shared" ca="1" si="20"/>
        <v>91</v>
      </c>
      <c r="BL49">
        <f t="shared" ca="1" si="20"/>
        <v>72</v>
      </c>
      <c r="BM49">
        <f t="shared" ca="1" si="20"/>
        <v>43</v>
      </c>
      <c r="BN49">
        <f t="shared" ca="1" si="20"/>
        <v>23</v>
      </c>
      <c r="BO49">
        <f t="shared" ca="1" si="20"/>
        <v>45</v>
      </c>
      <c r="BP49">
        <f t="shared" ca="1" si="20"/>
        <v>92</v>
      </c>
      <c r="BQ49">
        <f t="shared" ca="1" si="20"/>
        <v>44</v>
      </c>
      <c r="BR49">
        <f t="shared" ca="1" si="20"/>
        <v>48</v>
      </c>
      <c r="BS49">
        <f t="shared" ca="1" si="20"/>
        <v>61</v>
      </c>
      <c r="BT49">
        <f t="shared" ca="1" si="20"/>
        <v>89</v>
      </c>
      <c r="BU49">
        <f t="shared" ca="1" si="20"/>
        <v>96</v>
      </c>
      <c r="BV49">
        <f t="shared" ca="1" si="20"/>
        <v>3</v>
      </c>
    </row>
    <row r="50" spans="1:76" s="33" customFormat="1" x14ac:dyDescent="0.3">
      <c r="A50" s="49">
        <v>49</v>
      </c>
      <c r="B50" s="18" t="str">
        <f t="shared" ca="1" si="21"/>
        <v>Normal</v>
      </c>
      <c r="C50" s="18" t="str">
        <f t="shared" ca="1" si="22"/>
        <v>+1</v>
      </c>
      <c r="D50" s="18">
        <f t="shared" ca="1" si="23"/>
        <v>0</v>
      </c>
      <c r="E50" s="18" t="str">
        <f t="shared" ca="1" si="24"/>
        <v>Nil</v>
      </c>
      <c r="F50" s="18" t="str">
        <f t="shared" ca="1" si="25"/>
        <v>Nil</v>
      </c>
      <c r="G50" s="18" t="str">
        <f ca="1">IF(AB50&lt;=VLOOKUP(D50,'power prob array'!$A:$M,2), VLOOKUP(Swords!BK50,Swords!$AS:$BB,10), "")</f>
        <v/>
      </c>
      <c r="H50" s="18" t="str">
        <f ca="1">IF(AC50&lt;=VLOOKUP(D50,'power prob array'!$A:$M,3), VLOOKUP(Swords!BL50,Swords!$AS:$BB,10), "")</f>
        <v/>
      </c>
      <c r="I50" s="18" t="str">
        <f ca="1">IF(AD50&lt;=VLOOKUP(D50,'power prob array'!$A:$M,4), VLOOKUP(Swords!BM50,Swords!$AS:$BB,10), "")</f>
        <v/>
      </c>
      <c r="J50" s="18" t="str">
        <f ca="1">IF(AE50&lt;=VLOOKUP(D50,'power prob array'!$A:$M,5), VLOOKUP(Swords!BN50,Swords!$AS:$BB,10), "")</f>
        <v/>
      </c>
      <c r="K50" s="18" t="str">
        <f ca="1">IF(AF50&lt;=VLOOKUP(D50,'power prob array'!$A:$M,6), VLOOKUP(Swords!BO50,Swords!$AS:$BB,10), "")</f>
        <v/>
      </c>
      <c r="L50" s="18" t="str">
        <f ca="1">IF(AG50&lt;=VLOOKUP(D50,'power prob array'!$A:$M,7), VLOOKUP(Swords!BP50,Swords!$AS:$BB,10), "")</f>
        <v/>
      </c>
      <c r="M50" s="18" t="str">
        <f t="shared" ca="1" si="26"/>
        <v>No</v>
      </c>
      <c r="N50" s="18" t="str">
        <f ca="1">IF(AI50&lt;=VLOOKUP(D50,'power prob array'!$A:$M,8), VLOOKUP(Swords!BQ50,Swords!$AS:$BC,11), "")</f>
        <v/>
      </c>
      <c r="O50" s="18" t="str">
        <f ca="1">IF(AJ50&lt;=VLOOKUP(D50,'power prob array'!$A:$M,9), VLOOKUP(Swords!BR50,Swords!$AS:$BC,11), "")</f>
        <v/>
      </c>
      <c r="P50" s="18" t="str">
        <f ca="1">IF(AK50&lt;=VLOOKUP(D50,'power prob array'!$A:$M,10), VLOOKUP(Swords!BS50,Swords!$AS:$BC,11), "")</f>
        <v/>
      </c>
      <c r="Q50" s="18" t="str">
        <f ca="1">IF(AL50&lt;=VLOOKUP(D50,'power prob array'!$A:$M,11), VLOOKUP(Swords!BT50,Swords!$AS:$BC,11), "")</f>
        <v/>
      </c>
      <c r="R50" s="18" t="str">
        <f ca="1">IF(AM50&lt;=VLOOKUP(D50,'power prob array'!$A:$M,12), VLOOKUP(Swords!BU50,Swords!$AS:$BC,11), "")</f>
        <v/>
      </c>
      <c r="S50" s="18" t="str">
        <f ca="1">IF(AN50&lt;=VLOOKUP(D50,'power prob array'!$A:$M,13), VLOOKUP(Swords!BV50,Swords!$AS:$BC,11), "")</f>
        <v/>
      </c>
      <c r="T50" s="18" t="str">
        <f t="shared" ca="1" si="8"/>
        <v>+1</v>
      </c>
      <c r="U50" s="18" t="str" cm="1">
        <f t="array" aca="1" ref="U50" ca="1">_xlfn.IFS(T50="Talent", VLOOKUP(AP50,$AS:$BF,14), T50="No", "", 1=1, VLOOKUP(AP50,$AS:$BF,13))</f>
        <v>Enchanted Monsters</v>
      </c>
      <c r="V50" s="1"/>
      <c r="W50" s="1"/>
      <c r="X50" s="1">
        <f t="shared" ca="1" si="28"/>
        <v>36</v>
      </c>
      <c r="Y50" s="1">
        <f t="shared" ca="1" si="28"/>
        <v>35</v>
      </c>
      <c r="Z50" s="1">
        <f t="shared" ca="1" si="28"/>
        <v>69</v>
      </c>
      <c r="AA50" s="1">
        <f t="shared" ca="1" si="28"/>
        <v>45</v>
      </c>
      <c r="AB50" s="1">
        <f t="shared" ca="1" si="28"/>
        <v>61</v>
      </c>
      <c r="AC50" s="1">
        <f t="shared" ca="1" si="28"/>
        <v>21</v>
      </c>
      <c r="AD50" s="1">
        <f t="shared" ca="1" si="28"/>
        <v>28</v>
      </c>
      <c r="AE50" s="1">
        <f t="shared" ca="1" si="28"/>
        <v>15</v>
      </c>
      <c r="AF50" s="1">
        <f t="shared" ca="1" si="28"/>
        <v>31</v>
      </c>
      <c r="AG50" s="1">
        <f t="shared" ca="1" si="28"/>
        <v>38</v>
      </c>
      <c r="AH50" s="1"/>
      <c r="AI50" s="1">
        <f t="shared" ca="1" si="28"/>
        <v>49</v>
      </c>
      <c r="AJ50" s="1">
        <f t="shared" ca="1" si="28"/>
        <v>43</v>
      </c>
      <c r="AK50" s="1">
        <f t="shared" ca="1" si="28"/>
        <v>31</v>
      </c>
      <c r="AL50" s="1">
        <f t="shared" ca="1" si="28"/>
        <v>96</v>
      </c>
      <c r="AM50" s="1">
        <f t="shared" ca="1" si="28"/>
        <v>85</v>
      </c>
      <c r="AN50" s="1">
        <f t="shared" ca="1" si="27"/>
        <v>32</v>
      </c>
      <c r="AO50" s="1">
        <f t="shared" ca="1" si="27"/>
        <v>20</v>
      </c>
      <c r="AP50" s="1">
        <f t="shared" ca="1" si="27"/>
        <v>22</v>
      </c>
      <c r="AQ50" s="1"/>
      <c r="AR50" s="1"/>
      <c r="AS50" s="33">
        <v>50</v>
      </c>
      <c r="AT50" s="33" t="s">
        <v>678</v>
      </c>
      <c r="AU50" s="34" t="s">
        <v>555</v>
      </c>
      <c r="AV50" s="34" t="s">
        <v>555</v>
      </c>
      <c r="AW50" s="34" t="s">
        <v>692</v>
      </c>
      <c r="AX50" s="34" t="s">
        <v>683</v>
      </c>
      <c r="AY50" s="35" t="s">
        <v>683</v>
      </c>
      <c r="AZ50" s="34" t="s">
        <v>692</v>
      </c>
      <c r="BA50" s="34" t="s">
        <v>695</v>
      </c>
      <c r="BB50" s="34" t="s">
        <v>699</v>
      </c>
      <c r="BC50" s="34" t="s">
        <v>714</v>
      </c>
      <c r="BD50" s="34" t="s">
        <v>556</v>
      </c>
      <c r="BE50" s="34" t="s">
        <v>641</v>
      </c>
      <c r="BF50" s="34" t="s">
        <v>184</v>
      </c>
      <c r="BK50" s="33">
        <f t="shared" ca="1" si="20"/>
        <v>93</v>
      </c>
      <c r="BL50" s="33">
        <f t="shared" ca="1" si="20"/>
        <v>42</v>
      </c>
      <c r="BM50" s="33">
        <f t="shared" ca="1" si="20"/>
        <v>69</v>
      </c>
      <c r="BN50" s="33">
        <f t="shared" ca="1" si="20"/>
        <v>17</v>
      </c>
      <c r="BO50" s="33">
        <f t="shared" ca="1" si="20"/>
        <v>8</v>
      </c>
      <c r="BP50" s="33">
        <f t="shared" ca="1" si="20"/>
        <v>80</v>
      </c>
      <c r="BQ50" s="33">
        <f t="shared" ca="1" si="20"/>
        <v>85</v>
      </c>
      <c r="BR50" s="33">
        <f t="shared" ca="1" si="20"/>
        <v>3</v>
      </c>
      <c r="BS50" s="33">
        <f t="shared" ca="1" si="20"/>
        <v>35</v>
      </c>
      <c r="BT50" s="33">
        <f t="shared" ca="1" si="20"/>
        <v>90</v>
      </c>
      <c r="BU50" s="33">
        <f t="shared" ca="1" si="20"/>
        <v>59</v>
      </c>
      <c r="BV50" s="33">
        <f t="shared" ca="1" si="20"/>
        <v>2</v>
      </c>
      <c r="BX50" s="36"/>
    </row>
    <row r="51" spans="1:76" x14ac:dyDescent="0.3">
      <c r="A51" s="49">
        <v>50</v>
      </c>
      <c r="B51" s="19" t="str">
        <f t="shared" ca="1" si="21"/>
        <v>Bastard</v>
      </c>
      <c r="C51" s="19" t="str">
        <f t="shared" ca="1" si="22"/>
        <v>+1</v>
      </c>
      <c r="D51" s="19">
        <f t="shared" ca="1" si="23"/>
        <v>0</v>
      </c>
      <c r="E51" s="19" t="str">
        <f t="shared" ca="1" si="24"/>
        <v>Nil</v>
      </c>
      <c r="F51" s="19" t="str">
        <f t="shared" ca="1" si="25"/>
        <v>Nil</v>
      </c>
      <c r="G51" s="19" t="str">
        <f ca="1">IF(AB51&lt;=VLOOKUP(D51,'power prob array'!$A:$M,2), VLOOKUP(Swords!BK51,Swords!$AS:$BB,10), "")</f>
        <v/>
      </c>
      <c r="H51" s="19" t="str">
        <f ca="1">IF(AC51&lt;=VLOOKUP(D51,'power prob array'!$A:$M,3), VLOOKUP(Swords!BL51,Swords!$AS:$BB,10), "")</f>
        <v/>
      </c>
      <c r="I51" s="19" t="str">
        <f ca="1">IF(AD51&lt;=VLOOKUP(D51,'power prob array'!$A:$M,4), VLOOKUP(Swords!BM51,Swords!$AS:$BB,10), "")</f>
        <v/>
      </c>
      <c r="J51" s="19" t="str">
        <f ca="1">IF(AE51&lt;=VLOOKUP(D51,'power prob array'!$A:$M,5), VLOOKUP(Swords!BN51,Swords!$AS:$BB,10), "")</f>
        <v/>
      </c>
      <c r="K51" s="19" t="str">
        <f ca="1">IF(AF51&lt;=VLOOKUP(D51,'power prob array'!$A:$M,6), VLOOKUP(Swords!BO51,Swords!$AS:$BB,10), "")</f>
        <v/>
      </c>
      <c r="L51" s="19" t="str">
        <f ca="1">IF(AG51&lt;=VLOOKUP(D51,'power prob array'!$A:$M,7), VLOOKUP(Swords!BP51,Swords!$AS:$BB,10), "")</f>
        <v/>
      </c>
      <c r="M51" s="19" t="str">
        <f t="shared" ca="1" si="26"/>
        <v>No</v>
      </c>
      <c r="N51" s="19" t="str">
        <f ca="1">IF(AI51&lt;=VLOOKUP(D51,'power prob array'!$A:$M,8), VLOOKUP(Swords!BQ51,Swords!$AS:$BC,11), "")</f>
        <v/>
      </c>
      <c r="O51" s="19" t="str">
        <f ca="1">IF(AJ51&lt;=VLOOKUP(D51,'power prob array'!$A:$M,9), VLOOKUP(Swords!BR51,Swords!$AS:$BC,11), "")</f>
        <v/>
      </c>
      <c r="P51" s="19" t="str">
        <f ca="1">IF(AK51&lt;=VLOOKUP(D51,'power prob array'!$A:$M,10), VLOOKUP(Swords!BS51,Swords!$AS:$BC,11), "")</f>
        <v/>
      </c>
      <c r="Q51" s="19" t="str">
        <f ca="1">IF(AL51&lt;=VLOOKUP(D51,'power prob array'!$A:$M,11), VLOOKUP(Swords!BT51,Swords!$AS:$BC,11), "")</f>
        <v/>
      </c>
      <c r="R51" s="19" t="str">
        <f ca="1">IF(AM51&lt;=VLOOKUP(D51,'power prob array'!$A:$M,12), VLOOKUP(Swords!BU51,Swords!$AS:$BC,11), "")</f>
        <v/>
      </c>
      <c r="S51" s="19" t="str">
        <f ca="1">IF(AN51&lt;=VLOOKUP(D51,'power prob array'!$A:$M,13), VLOOKUP(Swords!BV51,Swords!$AS:$BC,11), "")</f>
        <v/>
      </c>
      <c r="T51" s="18" t="str">
        <f t="shared" ca="1" si="8"/>
        <v>+2</v>
      </c>
      <c r="U51" s="18" t="str" cm="1">
        <f t="array" aca="1" ref="U51" ca="1">_xlfn.IFS(T51="Talent", VLOOKUP(AP51,$AS:$BF,14), T51="No", "", 1=1, VLOOKUP(AP51,$AS:$BF,13))</f>
        <v>Planar Monsters</v>
      </c>
      <c r="V51" s="1"/>
      <c r="W51" s="1"/>
      <c r="X51" s="1">
        <f t="shared" ca="1" si="28"/>
        <v>96</v>
      </c>
      <c r="Y51" s="1">
        <f t="shared" ca="1" si="28"/>
        <v>4</v>
      </c>
      <c r="Z51" s="1">
        <f t="shared" ca="1" si="28"/>
        <v>95</v>
      </c>
      <c r="AA51" s="1">
        <f t="shared" ca="1" si="28"/>
        <v>40</v>
      </c>
      <c r="AB51" s="1">
        <f t="shared" ca="1" si="28"/>
        <v>45</v>
      </c>
      <c r="AC51" s="1">
        <f t="shared" ca="1" si="28"/>
        <v>96</v>
      </c>
      <c r="AD51" s="1">
        <f t="shared" ca="1" si="28"/>
        <v>66</v>
      </c>
      <c r="AE51" s="1">
        <f t="shared" ca="1" si="28"/>
        <v>73</v>
      </c>
      <c r="AF51" s="1">
        <f t="shared" ca="1" si="28"/>
        <v>100</v>
      </c>
      <c r="AG51" s="1">
        <f t="shared" ca="1" si="28"/>
        <v>46</v>
      </c>
      <c r="AH51" s="1"/>
      <c r="AI51" s="1">
        <f t="shared" ca="1" si="28"/>
        <v>48</v>
      </c>
      <c r="AJ51" s="1">
        <f t="shared" ca="1" si="28"/>
        <v>56</v>
      </c>
      <c r="AK51" s="1">
        <f t="shared" ca="1" si="28"/>
        <v>91</v>
      </c>
      <c r="AL51" s="1">
        <f t="shared" ca="1" si="28"/>
        <v>4</v>
      </c>
      <c r="AM51" s="1">
        <f t="shared" ca="1" si="28"/>
        <v>86</v>
      </c>
      <c r="AN51" s="1">
        <f t="shared" ca="1" si="27"/>
        <v>44</v>
      </c>
      <c r="AO51" s="1">
        <f t="shared" ca="1" si="27"/>
        <v>23</v>
      </c>
      <c r="AP51" s="1">
        <f t="shared" ca="1" si="27"/>
        <v>49</v>
      </c>
      <c r="AQ51" s="1"/>
      <c r="AR51" s="1"/>
      <c r="AS51">
        <v>51</v>
      </c>
      <c r="AT51" t="s">
        <v>678</v>
      </c>
      <c r="AU51" s="9" t="s">
        <v>555</v>
      </c>
      <c r="AV51" s="9" t="s">
        <v>555</v>
      </c>
      <c r="AW51" s="9" t="s">
        <v>692</v>
      </c>
      <c r="AX51" s="9" t="s">
        <v>683</v>
      </c>
      <c r="AY51" s="16" t="s">
        <v>683</v>
      </c>
      <c r="AZ51" s="9" t="s">
        <v>692</v>
      </c>
      <c r="BA51" s="9" t="s">
        <v>695</v>
      </c>
      <c r="BB51" s="9" t="s">
        <v>700</v>
      </c>
      <c r="BC51" s="9" t="s">
        <v>714</v>
      </c>
      <c r="BD51" s="9" t="s">
        <v>557</v>
      </c>
      <c r="BE51" s="9" t="s">
        <v>641</v>
      </c>
      <c r="BF51" s="9" t="s">
        <v>184</v>
      </c>
      <c r="BK51">
        <f t="shared" ca="1" si="20"/>
        <v>74</v>
      </c>
      <c r="BL51">
        <f t="shared" ca="1" si="20"/>
        <v>12</v>
      </c>
      <c r="BM51">
        <f t="shared" ca="1" si="20"/>
        <v>46</v>
      </c>
      <c r="BN51">
        <f t="shared" ca="1" si="20"/>
        <v>94</v>
      </c>
      <c r="BO51">
        <f t="shared" ca="1" si="20"/>
        <v>13</v>
      </c>
      <c r="BP51">
        <f t="shared" ca="1" si="20"/>
        <v>85</v>
      </c>
      <c r="BQ51">
        <f t="shared" ca="1" si="20"/>
        <v>10</v>
      </c>
      <c r="BR51">
        <f t="shared" ca="1" si="20"/>
        <v>61</v>
      </c>
      <c r="BS51">
        <f t="shared" ca="1" si="20"/>
        <v>50</v>
      </c>
      <c r="BT51">
        <f t="shared" ca="1" si="20"/>
        <v>37</v>
      </c>
      <c r="BU51">
        <f t="shared" ca="1" si="20"/>
        <v>34</v>
      </c>
      <c r="BV51">
        <f t="shared" ca="1" si="20"/>
        <v>47</v>
      </c>
    </row>
    <row r="52" spans="1:76" s="33" customFormat="1" x14ac:dyDescent="0.3">
      <c r="A52" s="49">
        <v>51</v>
      </c>
      <c r="B52" s="18" t="str">
        <f t="shared" ca="1" si="21"/>
        <v>Normal</v>
      </c>
      <c r="C52" s="18" t="str">
        <f t="shared" ca="1" si="22"/>
        <v>+3</v>
      </c>
      <c r="D52" s="18">
        <f t="shared" ca="1" si="23"/>
        <v>0</v>
      </c>
      <c r="E52" s="18" t="str">
        <f t="shared" ca="1" si="24"/>
        <v>Nil</v>
      </c>
      <c r="F52" s="18" t="str">
        <f t="shared" ca="1" si="25"/>
        <v>Nil</v>
      </c>
      <c r="G52" s="18" t="str">
        <f ca="1">IF(AB52&lt;=VLOOKUP(D52,'power prob array'!$A:$M,2), VLOOKUP(Swords!BK52,Swords!$AS:$BB,10), "")</f>
        <v/>
      </c>
      <c r="H52" s="18" t="str">
        <f ca="1">IF(AC52&lt;=VLOOKUP(D52,'power prob array'!$A:$M,3), VLOOKUP(Swords!BL52,Swords!$AS:$BB,10), "")</f>
        <v/>
      </c>
      <c r="I52" s="18" t="str">
        <f ca="1">IF(AD52&lt;=VLOOKUP(D52,'power prob array'!$A:$M,4), VLOOKUP(Swords!BM52,Swords!$AS:$BB,10), "")</f>
        <v/>
      </c>
      <c r="J52" s="18" t="str">
        <f ca="1">IF(AE52&lt;=VLOOKUP(D52,'power prob array'!$A:$M,5), VLOOKUP(Swords!BN52,Swords!$AS:$BB,10), "")</f>
        <v/>
      </c>
      <c r="K52" s="18" t="str">
        <f ca="1">IF(AF52&lt;=VLOOKUP(D52,'power prob array'!$A:$M,6), VLOOKUP(Swords!BO52,Swords!$AS:$BB,10), "")</f>
        <v/>
      </c>
      <c r="L52" s="18" t="str">
        <f ca="1">IF(AG52&lt;=VLOOKUP(D52,'power prob array'!$A:$M,7), VLOOKUP(Swords!BP52,Swords!$AS:$BB,10), "")</f>
        <v/>
      </c>
      <c r="M52" s="18" t="str">
        <f t="shared" ca="1" si="26"/>
        <v>No</v>
      </c>
      <c r="N52" s="18" t="str">
        <f ca="1">IF(AI52&lt;=VLOOKUP(D52,'power prob array'!$A:$M,8), VLOOKUP(Swords!BQ52,Swords!$AS:$BC,11), "")</f>
        <v/>
      </c>
      <c r="O52" s="18" t="str">
        <f ca="1">IF(AJ52&lt;=VLOOKUP(D52,'power prob array'!$A:$M,9), VLOOKUP(Swords!BR52,Swords!$AS:$BC,11), "")</f>
        <v/>
      </c>
      <c r="P52" s="18" t="str">
        <f ca="1">IF(AK52&lt;=VLOOKUP(D52,'power prob array'!$A:$M,10), VLOOKUP(Swords!BS52,Swords!$AS:$BC,11), "")</f>
        <v/>
      </c>
      <c r="Q52" s="18" t="str">
        <f ca="1">IF(AL52&lt;=VLOOKUP(D52,'power prob array'!$A:$M,11), VLOOKUP(Swords!BT52,Swords!$AS:$BC,11), "")</f>
        <v/>
      </c>
      <c r="R52" s="18" t="str">
        <f ca="1">IF(AM52&lt;=VLOOKUP(D52,'power prob array'!$A:$M,12), VLOOKUP(Swords!BU52,Swords!$AS:$BC,11), "")</f>
        <v/>
      </c>
      <c r="S52" s="18" t="str">
        <f ca="1">IF(AN52&lt;=VLOOKUP(D52,'power prob array'!$A:$M,13), VLOOKUP(Swords!BV52,Swords!$AS:$BC,11), "")</f>
        <v/>
      </c>
      <c r="T52" s="18" t="str">
        <f t="shared" ca="1" si="8"/>
        <v>+3</v>
      </c>
      <c r="U52" s="18" t="str" cm="1">
        <f t="array" aca="1" ref="U52" ca="1">_xlfn.IFS(T52="Talent", VLOOKUP(AP52,$AS:$BF,14), T52="No", "", 1=1, VLOOKUP(AP52,$AS:$BF,13))</f>
        <v>Regenerating Monsters</v>
      </c>
      <c r="V52" s="1"/>
      <c r="W52" s="1"/>
      <c r="X52" s="1">
        <f t="shared" ca="1" si="28"/>
        <v>58</v>
      </c>
      <c r="Y52" s="1">
        <f t="shared" ca="1" si="28"/>
        <v>93</v>
      </c>
      <c r="Z52" s="1">
        <f t="shared" ca="1" si="28"/>
        <v>49</v>
      </c>
      <c r="AA52" s="1">
        <f t="shared" ca="1" si="28"/>
        <v>46</v>
      </c>
      <c r="AB52" s="1">
        <f t="shared" ca="1" si="28"/>
        <v>67</v>
      </c>
      <c r="AC52" s="1">
        <f t="shared" ca="1" si="28"/>
        <v>67</v>
      </c>
      <c r="AD52" s="1">
        <f t="shared" ca="1" si="28"/>
        <v>85</v>
      </c>
      <c r="AE52" s="1">
        <f t="shared" ca="1" si="28"/>
        <v>74</v>
      </c>
      <c r="AF52" s="1">
        <f t="shared" ca="1" si="28"/>
        <v>93</v>
      </c>
      <c r="AG52" s="1">
        <f t="shared" ca="1" si="28"/>
        <v>50</v>
      </c>
      <c r="AH52" s="1"/>
      <c r="AI52" s="1">
        <f t="shared" ca="1" si="28"/>
        <v>67</v>
      </c>
      <c r="AJ52" s="1">
        <f t="shared" ca="1" si="28"/>
        <v>10</v>
      </c>
      <c r="AK52" s="1">
        <f t="shared" ca="1" si="28"/>
        <v>50</v>
      </c>
      <c r="AL52" s="1">
        <f t="shared" ca="1" si="28"/>
        <v>82</v>
      </c>
      <c r="AM52" s="1">
        <f t="shared" ca="1" si="28"/>
        <v>68</v>
      </c>
      <c r="AN52" s="1">
        <f t="shared" ca="1" si="27"/>
        <v>27</v>
      </c>
      <c r="AO52" s="1">
        <f t="shared" ca="1" si="27"/>
        <v>14</v>
      </c>
      <c r="AP52" s="1">
        <f t="shared" ca="1" si="27"/>
        <v>53</v>
      </c>
      <c r="AQ52" s="1"/>
      <c r="AR52" s="1"/>
      <c r="AS52" s="33">
        <v>52</v>
      </c>
      <c r="AT52" s="33" t="s">
        <v>678</v>
      </c>
      <c r="AU52" s="34" t="s">
        <v>555</v>
      </c>
      <c r="AV52" s="34" t="s">
        <v>555</v>
      </c>
      <c r="AW52" s="34" t="s">
        <v>692</v>
      </c>
      <c r="AX52" s="34" t="s">
        <v>683</v>
      </c>
      <c r="AY52" s="35" t="s">
        <v>683</v>
      </c>
      <c r="AZ52" s="34" t="s">
        <v>692</v>
      </c>
      <c r="BA52" s="34" t="s">
        <v>695</v>
      </c>
      <c r="BB52" s="34" t="s">
        <v>700</v>
      </c>
      <c r="BC52" s="34" t="s">
        <v>714</v>
      </c>
      <c r="BD52" s="34" t="s">
        <v>557</v>
      </c>
      <c r="BE52" s="34" t="s">
        <v>641</v>
      </c>
      <c r="BF52" s="34" t="s">
        <v>184</v>
      </c>
      <c r="BK52" s="33">
        <f t="shared" ref="BK52:BV67" ca="1" si="29">RANDBETWEEN(1,100)</f>
        <v>46</v>
      </c>
      <c r="BL52" s="33">
        <f t="shared" ca="1" si="29"/>
        <v>32</v>
      </c>
      <c r="BM52" s="33">
        <f t="shared" ca="1" si="29"/>
        <v>11</v>
      </c>
      <c r="BN52" s="33">
        <f t="shared" ca="1" si="29"/>
        <v>45</v>
      </c>
      <c r="BO52" s="33">
        <f t="shared" ca="1" si="29"/>
        <v>91</v>
      </c>
      <c r="BP52" s="33">
        <f t="shared" ca="1" si="29"/>
        <v>50</v>
      </c>
      <c r="BQ52" s="33">
        <f t="shared" ca="1" si="29"/>
        <v>53</v>
      </c>
      <c r="BR52" s="33">
        <f t="shared" ca="1" si="29"/>
        <v>7</v>
      </c>
      <c r="BS52" s="33">
        <f t="shared" ca="1" si="29"/>
        <v>82</v>
      </c>
      <c r="BT52" s="33">
        <f t="shared" ca="1" si="29"/>
        <v>43</v>
      </c>
      <c r="BU52" s="33">
        <f t="shared" ca="1" si="29"/>
        <v>67</v>
      </c>
      <c r="BV52" s="33">
        <f t="shared" ca="1" si="29"/>
        <v>85</v>
      </c>
      <c r="BX52" s="36"/>
    </row>
    <row r="53" spans="1:76" x14ac:dyDescent="0.3">
      <c r="A53" s="49">
        <v>52</v>
      </c>
      <c r="B53" s="19" t="str">
        <f t="shared" ca="1" si="21"/>
        <v>Normal</v>
      </c>
      <c r="C53" s="19" t="str">
        <f t="shared" ca="1" si="22"/>
        <v>+1</v>
      </c>
      <c r="D53" s="19">
        <f t="shared" ca="1" si="23"/>
        <v>0</v>
      </c>
      <c r="E53" s="19" t="str">
        <f t="shared" ca="1" si="24"/>
        <v>Nil</v>
      </c>
      <c r="F53" s="19" t="str">
        <f t="shared" ca="1" si="25"/>
        <v>Nil</v>
      </c>
      <c r="G53" s="19" t="str">
        <f ca="1">IF(AB53&lt;=VLOOKUP(D53,'power prob array'!$A:$M,2), VLOOKUP(Swords!BK53,Swords!$AS:$BB,10), "")</f>
        <v/>
      </c>
      <c r="H53" s="19" t="str">
        <f ca="1">IF(AC53&lt;=VLOOKUP(D53,'power prob array'!$A:$M,3), VLOOKUP(Swords!BL53,Swords!$AS:$BB,10), "")</f>
        <v/>
      </c>
      <c r="I53" s="19" t="str">
        <f ca="1">IF(AD53&lt;=VLOOKUP(D53,'power prob array'!$A:$M,4), VLOOKUP(Swords!BM53,Swords!$AS:$BB,10), "")</f>
        <v/>
      </c>
      <c r="J53" s="19" t="str">
        <f ca="1">IF(AE53&lt;=VLOOKUP(D53,'power prob array'!$A:$M,5), VLOOKUP(Swords!BN53,Swords!$AS:$BB,10), "")</f>
        <v/>
      </c>
      <c r="K53" s="19" t="str">
        <f ca="1">IF(AF53&lt;=VLOOKUP(D53,'power prob array'!$A:$M,6), VLOOKUP(Swords!BO53,Swords!$AS:$BB,10), "")</f>
        <v/>
      </c>
      <c r="L53" s="19" t="str">
        <f ca="1">IF(AG53&lt;=VLOOKUP(D53,'power prob array'!$A:$M,7), VLOOKUP(Swords!BP53,Swords!$AS:$BB,10), "")</f>
        <v/>
      </c>
      <c r="M53" s="19" t="str">
        <f t="shared" ca="1" si="26"/>
        <v>No</v>
      </c>
      <c r="N53" s="19" t="str">
        <f ca="1">IF(AI53&lt;=VLOOKUP(D53,'power prob array'!$A:$M,8), VLOOKUP(Swords!BQ53,Swords!$AS:$BC,11), "")</f>
        <v/>
      </c>
      <c r="O53" s="19" t="str">
        <f ca="1">IF(AJ53&lt;=VLOOKUP(D53,'power prob array'!$A:$M,9), VLOOKUP(Swords!BR53,Swords!$AS:$BC,11), "")</f>
        <v/>
      </c>
      <c r="P53" s="19" t="str">
        <f ca="1">IF(AK53&lt;=VLOOKUP(D53,'power prob array'!$A:$M,10), VLOOKUP(Swords!BS53,Swords!$AS:$BC,11), "")</f>
        <v/>
      </c>
      <c r="Q53" s="19" t="str">
        <f ca="1">IF(AL53&lt;=VLOOKUP(D53,'power prob array'!$A:$M,11), VLOOKUP(Swords!BT53,Swords!$AS:$BC,11), "")</f>
        <v/>
      </c>
      <c r="R53" s="19" t="str">
        <f ca="1">IF(AM53&lt;=VLOOKUP(D53,'power prob array'!$A:$M,12), VLOOKUP(Swords!BU53,Swords!$AS:$BC,11), "")</f>
        <v/>
      </c>
      <c r="S53" s="19" t="str">
        <f ca="1">IF(AN53&lt;=VLOOKUP(D53,'power prob array'!$A:$M,13), VLOOKUP(Swords!BV53,Swords!$AS:$BC,11), "")</f>
        <v/>
      </c>
      <c r="T53" s="18" t="str">
        <f t="shared" ca="1" si="8"/>
        <v>No</v>
      </c>
      <c r="U53" s="18" t="str" cm="1">
        <f t="array" aca="1" ref="U53" ca="1">_xlfn.IFS(T53="Talent", VLOOKUP(AP53,$AS:$BF,14), T53="No", "", 1=1, VLOOKUP(AP53,$AS:$BF,13))</f>
        <v/>
      </c>
      <c r="V53" s="1"/>
      <c r="W53" s="1"/>
      <c r="X53" s="1">
        <f t="shared" ca="1" si="28"/>
        <v>14</v>
      </c>
      <c r="Y53" s="1">
        <f t="shared" ca="1" si="28"/>
        <v>38</v>
      </c>
      <c r="Z53" s="1">
        <f t="shared" ca="1" si="28"/>
        <v>22</v>
      </c>
      <c r="AA53" s="1">
        <f t="shared" ca="1" si="28"/>
        <v>45</v>
      </c>
      <c r="AB53" s="1">
        <f t="shared" ca="1" si="28"/>
        <v>18</v>
      </c>
      <c r="AC53" s="1">
        <f t="shared" ca="1" si="28"/>
        <v>42</v>
      </c>
      <c r="AD53" s="1">
        <f t="shared" ca="1" si="28"/>
        <v>92</v>
      </c>
      <c r="AE53" s="1">
        <f t="shared" ca="1" si="28"/>
        <v>83</v>
      </c>
      <c r="AF53" s="1">
        <f t="shared" ca="1" si="28"/>
        <v>68</v>
      </c>
      <c r="AG53" s="1">
        <f t="shared" ca="1" si="28"/>
        <v>99</v>
      </c>
      <c r="AH53" s="1"/>
      <c r="AI53" s="1">
        <f t="shared" ca="1" si="28"/>
        <v>54</v>
      </c>
      <c r="AJ53" s="1">
        <f t="shared" ca="1" si="28"/>
        <v>64</v>
      </c>
      <c r="AK53" s="1">
        <f t="shared" ca="1" si="28"/>
        <v>99</v>
      </c>
      <c r="AL53" s="1">
        <f t="shared" ca="1" si="28"/>
        <v>37</v>
      </c>
      <c r="AM53" s="1">
        <f t="shared" ca="1" si="28"/>
        <v>7</v>
      </c>
      <c r="AN53" s="1">
        <f t="shared" ca="1" si="27"/>
        <v>80</v>
      </c>
      <c r="AO53" s="1">
        <f t="shared" ca="1" si="27"/>
        <v>84</v>
      </c>
      <c r="AP53" s="1">
        <f t="shared" ca="1" si="27"/>
        <v>24</v>
      </c>
      <c r="AQ53" s="1"/>
      <c r="AR53" s="1"/>
      <c r="AS53">
        <v>53</v>
      </c>
      <c r="AT53" t="s">
        <v>678</v>
      </c>
      <c r="AU53" s="9" t="s">
        <v>555</v>
      </c>
      <c r="AV53" s="9" t="s">
        <v>555</v>
      </c>
      <c r="AW53" s="9" t="s">
        <v>692</v>
      </c>
      <c r="AX53" s="9" t="s">
        <v>683</v>
      </c>
      <c r="AY53" s="16" t="s">
        <v>683</v>
      </c>
      <c r="AZ53" s="9" t="s">
        <v>692</v>
      </c>
      <c r="BA53" s="9" t="s">
        <v>695</v>
      </c>
      <c r="BB53" s="9" t="s">
        <v>700</v>
      </c>
      <c r="BC53" s="9" t="s">
        <v>714</v>
      </c>
      <c r="BD53" s="9" t="s">
        <v>557</v>
      </c>
      <c r="BE53" s="9" t="s">
        <v>642</v>
      </c>
      <c r="BF53" s="9" t="s">
        <v>184</v>
      </c>
      <c r="BK53">
        <f t="shared" ca="1" si="29"/>
        <v>46</v>
      </c>
      <c r="BL53">
        <f t="shared" ca="1" si="29"/>
        <v>87</v>
      </c>
      <c r="BM53">
        <f t="shared" ca="1" si="29"/>
        <v>13</v>
      </c>
      <c r="BN53">
        <f t="shared" ca="1" si="29"/>
        <v>48</v>
      </c>
      <c r="BO53">
        <f t="shared" ca="1" si="29"/>
        <v>23</v>
      </c>
      <c r="BP53">
        <f t="shared" ca="1" si="29"/>
        <v>98</v>
      </c>
      <c r="BQ53">
        <f t="shared" ca="1" si="29"/>
        <v>70</v>
      </c>
      <c r="BR53">
        <f t="shared" ca="1" si="29"/>
        <v>95</v>
      </c>
      <c r="BS53">
        <f t="shared" ca="1" si="29"/>
        <v>90</v>
      </c>
      <c r="BT53">
        <f t="shared" ca="1" si="29"/>
        <v>70</v>
      </c>
      <c r="BU53">
        <f t="shared" ca="1" si="29"/>
        <v>45</v>
      </c>
      <c r="BV53">
        <f t="shared" ca="1" si="29"/>
        <v>4</v>
      </c>
    </row>
    <row r="54" spans="1:76" s="33" customFormat="1" x14ac:dyDescent="0.3">
      <c r="A54" s="49">
        <v>53</v>
      </c>
      <c r="B54" s="18" t="str">
        <f t="shared" ca="1" si="21"/>
        <v>Normal</v>
      </c>
      <c r="C54" s="18" t="str">
        <f t="shared" ca="1" si="22"/>
        <v>+1</v>
      </c>
      <c r="D54" s="18">
        <f t="shared" ca="1" si="23"/>
        <v>9</v>
      </c>
      <c r="E54" s="18" t="str">
        <f t="shared" ca="1" si="24"/>
        <v>Empathy</v>
      </c>
      <c r="F54" s="18" t="str">
        <f t="shared" ca="1" si="25"/>
        <v>Nil</v>
      </c>
      <c r="G54" s="18" t="str">
        <f ca="1">IF(AB54&lt;=VLOOKUP(D54,'power prob array'!$A:$M,2), VLOOKUP(Swords!BK54,Swords!$AS:$BB,10), "")</f>
        <v>Detect Metal</v>
      </c>
      <c r="H54" s="18" t="str">
        <f ca="1">IF(AC54&lt;=VLOOKUP(D54,'power prob array'!$A:$M,3), VLOOKUP(Swords!BL54,Swords!$AS:$BB,10), "")</f>
        <v>Detect Gems</v>
      </c>
      <c r="I54" s="18" t="str">
        <f ca="1">IF(AD54&lt;=VLOOKUP(D54,'power prob array'!$A:$M,4), VLOOKUP(Swords!BM54,Swords!$AS:$BB,10), "")</f>
        <v>Find Traps</v>
      </c>
      <c r="J54" s="18" t="str">
        <f ca="1">IF(AE54&lt;=VLOOKUP(D54,'power prob array'!$A:$M,5), VLOOKUP(Swords!BN54,Swords!$AS:$BB,10), "")</f>
        <v/>
      </c>
      <c r="K54" s="18" t="str">
        <f ca="1">IF(AF54&lt;=VLOOKUP(D54,'power prob array'!$A:$M,6), VLOOKUP(Swords!BO54,Swords!$AS:$BB,10), "")</f>
        <v/>
      </c>
      <c r="L54" s="18" t="str">
        <f ca="1">IF(AG54&lt;=VLOOKUP(D54,'power prob array'!$A:$M,7), VLOOKUP(Swords!BP54,Swords!$AS:$BB,10), "")</f>
        <v/>
      </c>
      <c r="M54" s="18" t="str">
        <f t="shared" ca="1" si="26"/>
        <v>No</v>
      </c>
      <c r="N54" s="18" t="str">
        <f ca="1">IF(AI54&lt;=VLOOKUP(D54,'power prob array'!$A:$M,8), VLOOKUP(Swords!BQ54,Swords!$AS:$BC,11), "")</f>
        <v/>
      </c>
      <c r="O54" s="18" t="str">
        <f ca="1">IF(AJ54&lt;=VLOOKUP(D54,'power prob array'!$A:$M,9), VLOOKUP(Swords!BR54,Swords!$AS:$BC,11), "")</f>
        <v/>
      </c>
      <c r="P54" s="18" t="str">
        <f ca="1">IF(AK54&lt;=VLOOKUP(D54,'power prob array'!$A:$M,10), VLOOKUP(Swords!BS54,Swords!$AS:$BC,11), "")</f>
        <v/>
      </c>
      <c r="Q54" s="18" t="str">
        <f ca="1">IF(AL54&lt;=VLOOKUP(D54,'power prob array'!$A:$M,11), VLOOKUP(Swords!BT54,Swords!$AS:$BC,11), "")</f>
        <v/>
      </c>
      <c r="R54" s="18" t="str">
        <f ca="1">IF(AM54&lt;=VLOOKUP(D54,'power prob array'!$A:$M,12), VLOOKUP(Swords!BU54,Swords!$AS:$BC,11), "")</f>
        <v/>
      </c>
      <c r="S54" s="18" t="str">
        <f ca="1">IF(AN54&lt;=VLOOKUP(D54,'power prob array'!$A:$M,13), VLOOKUP(Swords!BV54,Swords!$AS:$BC,11), "")</f>
        <v/>
      </c>
      <c r="T54" s="18" t="str">
        <f t="shared" ca="1" si="8"/>
        <v>No</v>
      </c>
      <c r="U54" s="18" t="str" cm="1">
        <f t="array" aca="1" ref="U54" ca="1">_xlfn.IFS(T54="Talent", VLOOKUP(AP54,$AS:$BF,14), T54="No", "", 1=1, VLOOKUP(AP54,$AS:$BF,13))</f>
        <v/>
      </c>
      <c r="V54" s="1"/>
      <c r="W54" s="1"/>
      <c r="X54" s="1">
        <f t="shared" ca="1" si="28"/>
        <v>61</v>
      </c>
      <c r="Y54" s="1">
        <f t="shared" ca="1" si="28"/>
        <v>65</v>
      </c>
      <c r="Z54" s="1">
        <f t="shared" ca="1" si="28"/>
        <v>56</v>
      </c>
      <c r="AA54" s="1">
        <f t="shared" ca="1" si="28"/>
        <v>91</v>
      </c>
      <c r="AB54" s="1">
        <f t="shared" ca="1" si="28"/>
        <v>18</v>
      </c>
      <c r="AC54" s="1">
        <f t="shared" ca="1" si="28"/>
        <v>59</v>
      </c>
      <c r="AD54" s="1">
        <f t="shared" ca="1" si="28"/>
        <v>35</v>
      </c>
      <c r="AE54" s="1">
        <f t="shared" ca="1" si="28"/>
        <v>41</v>
      </c>
      <c r="AF54" s="1">
        <f t="shared" ca="1" si="28"/>
        <v>5</v>
      </c>
      <c r="AG54" s="1">
        <f t="shared" ca="1" si="28"/>
        <v>50</v>
      </c>
      <c r="AH54" s="1"/>
      <c r="AI54" s="1">
        <f t="shared" ca="1" si="28"/>
        <v>32</v>
      </c>
      <c r="AJ54" s="1">
        <f t="shared" ca="1" si="28"/>
        <v>35</v>
      </c>
      <c r="AK54" s="1">
        <f t="shared" ca="1" si="28"/>
        <v>52</v>
      </c>
      <c r="AL54" s="1">
        <f t="shared" ca="1" si="28"/>
        <v>74</v>
      </c>
      <c r="AM54" s="1">
        <f t="shared" ca="1" si="28"/>
        <v>39</v>
      </c>
      <c r="AN54" s="1">
        <f t="shared" ca="1" si="27"/>
        <v>34</v>
      </c>
      <c r="AO54" s="1">
        <f t="shared" ca="1" si="27"/>
        <v>80</v>
      </c>
      <c r="AP54" s="1">
        <f t="shared" ca="1" si="27"/>
        <v>49</v>
      </c>
      <c r="AQ54" s="1"/>
      <c r="AR54" s="1"/>
      <c r="AS54" s="33">
        <v>54</v>
      </c>
      <c r="AT54" s="33" t="s">
        <v>678</v>
      </c>
      <c r="AU54" s="34" t="s">
        <v>555</v>
      </c>
      <c r="AV54" s="34" t="s">
        <v>555</v>
      </c>
      <c r="AW54" s="34" t="s">
        <v>692</v>
      </c>
      <c r="AX54" s="34" t="s">
        <v>683</v>
      </c>
      <c r="AY54" s="35" t="s">
        <v>683</v>
      </c>
      <c r="AZ54" s="34" t="s">
        <v>692</v>
      </c>
      <c r="BA54" s="34" t="s">
        <v>695</v>
      </c>
      <c r="BB54" s="34" t="s">
        <v>700</v>
      </c>
      <c r="BC54" s="34" t="s">
        <v>714</v>
      </c>
      <c r="BD54" s="34" t="s">
        <v>557</v>
      </c>
      <c r="BE54" s="34" t="s">
        <v>642</v>
      </c>
      <c r="BF54" s="34" t="s">
        <v>184</v>
      </c>
      <c r="BK54" s="33">
        <f t="shared" ca="1" si="29"/>
        <v>29</v>
      </c>
      <c r="BL54" s="33">
        <f t="shared" ca="1" si="29"/>
        <v>13</v>
      </c>
      <c r="BM54" s="33">
        <f t="shared" ca="1" si="29"/>
        <v>85</v>
      </c>
      <c r="BN54" s="33">
        <f t="shared" ca="1" si="29"/>
        <v>18</v>
      </c>
      <c r="BO54" s="33">
        <f t="shared" ca="1" si="29"/>
        <v>84</v>
      </c>
      <c r="BP54" s="33">
        <f t="shared" ca="1" si="29"/>
        <v>87</v>
      </c>
      <c r="BQ54" s="33">
        <f t="shared" ca="1" si="29"/>
        <v>77</v>
      </c>
      <c r="BR54" s="33">
        <f t="shared" ca="1" si="29"/>
        <v>61</v>
      </c>
      <c r="BS54" s="33">
        <f t="shared" ca="1" si="29"/>
        <v>4</v>
      </c>
      <c r="BT54" s="33">
        <f t="shared" ca="1" si="29"/>
        <v>23</v>
      </c>
      <c r="BU54" s="33">
        <f t="shared" ca="1" si="29"/>
        <v>6</v>
      </c>
      <c r="BV54" s="33">
        <f t="shared" ca="1" si="29"/>
        <v>32</v>
      </c>
      <c r="BX54" s="36"/>
    </row>
    <row r="55" spans="1:76" x14ac:dyDescent="0.3">
      <c r="A55" s="49">
        <v>54</v>
      </c>
      <c r="B55" s="19" t="str">
        <f t="shared" ca="1" si="21"/>
        <v>Normal</v>
      </c>
      <c r="C55" s="19" t="str">
        <f t="shared" ca="1" si="22"/>
        <v>+1</v>
      </c>
      <c r="D55" s="19">
        <f t="shared" ca="1" si="23"/>
        <v>0</v>
      </c>
      <c r="E55" s="19" t="str">
        <f t="shared" ca="1" si="24"/>
        <v>Nil</v>
      </c>
      <c r="F55" s="19" t="str">
        <f t="shared" ca="1" si="25"/>
        <v>Nil</v>
      </c>
      <c r="G55" s="19" t="str">
        <f ca="1">IF(AB55&lt;=VLOOKUP(D55,'power prob array'!$A:$M,2), VLOOKUP(Swords!BK55,Swords!$AS:$BB,10), "")</f>
        <v/>
      </c>
      <c r="H55" s="19" t="str">
        <f ca="1">IF(AC55&lt;=VLOOKUP(D55,'power prob array'!$A:$M,3), VLOOKUP(Swords!BL55,Swords!$AS:$BB,10), "")</f>
        <v/>
      </c>
      <c r="I55" s="19" t="str">
        <f ca="1">IF(AD55&lt;=VLOOKUP(D55,'power prob array'!$A:$M,4), VLOOKUP(Swords!BM55,Swords!$AS:$BB,10), "")</f>
        <v/>
      </c>
      <c r="J55" s="19" t="str">
        <f ca="1">IF(AE55&lt;=VLOOKUP(D55,'power prob array'!$A:$M,5), VLOOKUP(Swords!BN55,Swords!$AS:$BB,10), "")</f>
        <v/>
      </c>
      <c r="K55" s="19" t="str">
        <f ca="1">IF(AF55&lt;=VLOOKUP(D55,'power prob array'!$A:$M,6), VLOOKUP(Swords!BO55,Swords!$AS:$BB,10), "")</f>
        <v/>
      </c>
      <c r="L55" s="19" t="str">
        <f ca="1">IF(AG55&lt;=VLOOKUP(D55,'power prob array'!$A:$M,7), VLOOKUP(Swords!BP55,Swords!$AS:$BB,10), "")</f>
        <v/>
      </c>
      <c r="M55" s="19" t="str">
        <f t="shared" ca="1" si="26"/>
        <v>No</v>
      </c>
      <c r="N55" s="19" t="str">
        <f ca="1">IF(AI55&lt;=VLOOKUP(D55,'power prob array'!$A:$M,8), VLOOKUP(Swords!BQ55,Swords!$AS:$BC,11), "")</f>
        <v/>
      </c>
      <c r="O55" s="19" t="str">
        <f ca="1">IF(AJ55&lt;=VLOOKUP(D55,'power prob array'!$A:$M,9), VLOOKUP(Swords!BR55,Swords!$AS:$BC,11), "")</f>
        <v/>
      </c>
      <c r="P55" s="19" t="str">
        <f ca="1">IF(AK55&lt;=VLOOKUP(D55,'power prob array'!$A:$M,10), VLOOKUP(Swords!BS55,Swords!$AS:$BC,11), "")</f>
        <v/>
      </c>
      <c r="Q55" s="19" t="str">
        <f ca="1">IF(AL55&lt;=VLOOKUP(D55,'power prob array'!$A:$M,11), VLOOKUP(Swords!BT55,Swords!$AS:$BC,11), "")</f>
        <v/>
      </c>
      <c r="R55" s="19" t="str">
        <f ca="1">IF(AM55&lt;=VLOOKUP(D55,'power prob array'!$A:$M,12), VLOOKUP(Swords!BU55,Swords!$AS:$BC,11), "")</f>
        <v/>
      </c>
      <c r="S55" s="19" t="str">
        <f ca="1">IF(AN55&lt;=VLOOKUP(D55,'power prob array'!$A:$M,13), VLOOKUP(Swords!BV55,Swords!$AS:$BC,11), "")</f>
        <v/>
      </c>
      <c r="T55" s="18" t="str">
        <f t="shared" ca="1" si="8"/>
        <v>No</v>
      </c>
      <c r="U55" s="18" t="str" cm="1">
        <f t="array" aca="1" ref="U55" ca="1">_xlfn.IFS(T55="Talent", VLOOKUP(AP55,$AS:$BF,14), T55="No", "", 1=1, VLOOKUP(AP55,$AS:$BF,13))</f>
        <v/>
      </c>
      <c r="V55" s="1"/>
      <c r="W55" s="1"/>
      <c r="X55" s="1">
        <f t="shared" ca="1" si="28"/>
        <v>22</v>
      </c>
      <c r="Y55" s="1">
        <f t="shared" ca="1" si="28"/>
        <v>56</v>
      </c>
      <c r="Z55" s="1">
        <f t="shared" ca="1" si="28"/>
        <v>4</v>
      </c>
      <c r="AA55" s="1">
        <f t="shared" ca="1" si="28"/>
        <v>4</v>
      </c>
      <c r="AB55" s="1">
        <f t="shared" ca="1" si="28"/>
        <v>42</v>
      </c>
      <c r="AC55" s="1">
        <f t="shared" ca="1" si="28"/>
        <v>65</v>
      </c>
      <c r="AD55" s="1">
        <f t="shared" ca="1" si="28"/>
        <v>8</v>
      </c>
      <c r="AE55" s="1">
        <f t="shared" ca="1" si="28"/>
        <v>46</v>
      </c>
      <c r="AF55" s="1">
        <f t="shared" ca="1" si="28"/>
        <v>26</v>
      </c>
      <c r="AG55" s="1">
        <f t="shared" ca="1" si="28"/>
        <v>73</v>
      </c>
      <c r="AH55" s="1"/>
      <c r="AI55" s="1">
        <f t="shared" ca="1" si="28"/>
        <v>77</v>
      </c>
      <c r="AJ55" s="1">
        <f t="shared" ca="1" si="28"/>
        <v>15</v>
      </c>
      <c r="AK55" s="1">
        <f t="shared" ca="1" si="28"/>
        <v>20</v>
      </c>
      <c r="AL55" s="1">
        <f t="shared" ca="1" si="28"/>
        <v>18</v>
      </c>
      <c r="AM55" s="1">
        <f t="shared" ca="1" si="28"/>
        <v>55</v>
      </c>
      <c r="AN55" s="1">
        <f t="shared" ca="1" si="27"/>
        <v>89</v>
      </c>
      <c r="AO55" s="1">
        <f t="shared" ca="1" si="27"/>
        <v>58</v>
      </c>
      <c r="AP55" s="1">
        <f t="shared" ca="1" si="27"/>
        <v>37</v>
      </c>
      <c r="AQ55" s="1"/>
      <c r="AR55" s="1"/>
      <c r="AS55">
        <v>55</v>
      </c>
      <c r="AT55" t="s">
        <v>678</v>
      </c>
      <c r="AU55" s="9" t="s">
        <v>555</v>
      </c>
      <c r="AV55" s="9" t="s">
        <v>555</v>
      </c>
      <c r="AW55" s="9" t="s">
        <v>692</v>
      </c>
      <c r="AX55" s="9" t="s">
        <v>683</v>
      </c>
      <c r="AY55" s="16" t="s">
        <v>683</v>
      </c>
      <c r="AZ55" s="9" t="s">
        <v>692</v>
      </c>
      <c r="BA55" s="9" t="s">
        <v>695</v>
      </c>
      <c r="BB55" s="9" t="s">
        <v>700</v>
      </c>
      <c r="BC55" s="9" t="s">
        <v>189</v>
      </c>
      <c r="BD55" s="9" t="s">
        <v>557</v>
      </c>
      <c r="BE55" s="9" t="s">
        <v>642</v>
      </c>
      <c r="BF55" s="9" t="s">
        <v>658</v>
      </c>
      <c r="BK55">
        <f t="shared" ca="1" si="29"/>
        <v>45</v>
      </c>
      <c r="BL55">
        <f t="shared" ca="1" si="29"/>
        <v>78</v>
      </c>
      <c r="BM55">
        <f t="shared" ca="1" si="29"/>
        <v>92</v>
      </c>
      <c r="BN55">
        <f t="shared" ca="1" si="29"/>
        <v>84</v>
      </c>
      <c r="BO55">
        <f t="shared" ca="1" si="29"/>
        <v>63</v>
      </c>
      <c r="BP55">
        <f t="shared" ca="1" si="29"/>
        <v>93</v>
      </c>
      <c r="BQ55">
        <f t="shared" ca="1" si="29"/>
        <v>80</v>
      </c>
      <c r="BR55">
        <f t="shared" ca="1" si="29"/>
        <v>78</v>
      </c>
      <c r="BS55">
        <f t="shared" ca="1" si="29"/>
        <v>18</v>
      </c>
      <c r="BT55">
        <f t="shared" ca="1" si="29"/>
        <v>70</v>
      </c>
      <c r="BU55">
        <f t="shared" ca="1" si="29"/>
        <v>87</v>
      </c>
      <c r="BV55">
        <f t="shared" ca="1" si="29"/>
        <v>69</v>
      </c>
    </row>
    <row r="56" spans="1:76" s="33" customFormat="1" x14ac:dyDescent="0.3">
      <c r="A56" s="49">
        <v>55</v>
      </c>
      <c r="B56" s="18" t="str">
        <f t="shared" ca="1" si="21"/>
        <v>Normal</v>
      </c>
      <c r="C56" s="18" t="str">
        <f t="shared" ca="1" si="22"/>
        <v>+1</v>
      </c>
      <c r="D56" s="18">
        <f t="shared" ca="1" si="23"/>
        <v>0</v>
      </c>
      <c r="E56" s="18" t="str">
        <f t="shared" ca="1" si="24"/>
        <v>Nil</v>
      </c>
      <c r="F56" s="18" t="str">
        <f t="shared" ca="1" si="25"/>
        <v>Nil</v>
      </c>
      <c r="G56" s="18" t="str">
        <f ca="1">IF(AB56&lt;=VLOOKUP(D56,'power prob array'!$A:$M,2), VLOOKUP(Swords!BK56,Swords!$AS:$BB,10), "")</f>
        <v/>
      </c>
      <c r="H56" s="18" t="str">
        <f ca="1">IF(AC56&lt;=VLOOKUP(D56,'power prob array'!$A:$M,3), VLOOKUP(Swords!BL56,Swords!$AS:$BB,10), "")</f>
        <v/>
      </c>
      <c r="I56" s="18" t="str">
        <f ca="1">IF(AD56&lt;=VLOOKUP(D56,'power prob array'!$A:$M,4), VLOOKUP(Swords!BM56,Swords!$AS:$BB,10), "")</f>
        <v/>
      </c>
      <c r="J56" s="18" t="str">
        <f ca="1">IF(AE56&lt;=VLOOKUP(D56,'power prob array'!$A:$M,5), VLOOKUP(Swords!BN56,Swords!$AS:$BB,10), "")</f>
        <v/>
      </c>
      <c r="K56" s="18" t="str">
        <f ca="1">IF(AF56&lt;=VLOOKUP(D56,'power prob array'!$A:$M,6), VLOOKUP(Swords!BO56,Swords!$AS:$BB,10), "")</f>
        <v/>
      </c>
      <c r="L56" s="18" t="str">
        <f ca="1">IF(AG56&lt;=VLOOKUP(D56,'power prob array'!$A:$M,7), VLOOKUP(Swords!BP56,Swords!$AS:$BB,10), "")</f>
        <v/>
      </c>
      <c r="M56" s="18" t="str">
        <f t="shared" ca="1" si="26"/>
        <v>No</v>
      </c>
      <c r="N56" s="18" t="str">
        <f ca="1">IF(AI56&lt;=VLOOKUP(D56,'power prob array'!$A:$M,8), VLOOKUP(Swords!BQ56,Swords!$AS:$BC,11), "")</f>
        <v/>
      </c>
      <c r="O56" s="18" t="str">
        <f ca="1">IF(AJ56&lt;=VLOOKUP(D56,'power prob array'!$A:$M,9), VLOOKUP(Swords!BR56,Swords!$AS:$BC,11), "")</f>
        <v/>
      </c>
      <c r="P56" s="18" t="str">
        <f ca="1">IF(AK56&lt;=VLOOKUP(D56,'power prob array'!$A:$M,10), VLOOKUP(Swords!BS56,Swords!$AS:$BC,11), "")</f>
        <v/>
      </c>
      <c r="Q56" s="18" t="str">
        <f ca="1">IF(AL56&lt;=VLOOKUP(D56,'power prob array'!$A:$M,11), VLOOKUP(Swords!BT56,Swords!$AS:$BC,11), "")</f>
        <v/>
      </c>
      <c r="R56" s="18" t="str">
        <f ca="1">IF(AM56&lt;=VLOOKUP(D56,'power prob array'!$A:$M,12), VLOOKUP(Swords!BU56,Swords!$AS:$BC,11), "")</f>
        <v/>
      </c>
      <c r="S56" s="18" t="str">
        <f ca="1">IF(AN56&lt;=VLOOKUP(D56,'power prob array'!$A:$M,13), VLOOKUP(Swords!BV56,Swords!$AS:$BC,11), "")</f>
        <v/>
      </c>
      <c r="T56" s="18" t="str">
        <f t="shared" ca="1" si="8"/>
        <v>No</v>
      </c>
      <c r="U56" s="18" t="str" cm="1">
        <f t="array" aca="1" ref="U56" ca="1">_xlfn.IFS(T56="Talent", VLOOKUP(AP56,$AS:$BF,14), T56="No", "", 1=1, VLOOKUP(AP56,$AS:$BF,13))</f>
        <v/>
      </c>
      <c r="V56" s="1"/>
      <c r="W56" s="1"/>
      <c r="X56" s="1">
        <f t="shared" ca="1" si="28"/>
        <v>51</v>
      </c>
      <c r="Y56" s="1">
        <f t="shared" ca="1" si="28"/>
        <v>53</v>
      </c>
      <c r="Z56" s="1">
        <f t="shared" ca="1" si="28"/>
        <v>77</v>
      </c>
      <c r="AA56" s="1">
        <f t="shared" ca="1" si="28"/>
        <v>66</v>
      </c>
      <c r="AB56" s="1">
        <f t="shared" ca="1" si="28"/>
        <v>65</v>
      </c>
      <c r="AC56" s="1">
        <f t="shared" ca="1" si="28"/>
        <v>88</v>
      </c>
      <c r="AD56" s="1">
        <f t="shared" ca="1" si="28"/>
        <v>61</v>
      </c>
      <c r="AE56" s="1">
        <f t="shared" ca="1" si="28"/>
        <v>32</v>
      </c>
      <c r="AF56" s="1">
        <f t="shared" ca="1" si="28"/>
        <v>48</v>
      </c>
      <c r="AG56" s="1">
        <f t="shared" ca="1" si="28"/>
        <v>50</v>
      </c>
      <c r="AH56" s="1"/>
      <c r="AI56" s="1">
        <f t="shared" ca="1" si="28"/>
        <v>49</v>
      </c>
      <c r="AJ56" s="1">
        <f t="shared" ca="1" si="28"/>
        <v>45</v>
      </c>
      <c r="AK56" s="1">
        <f t="shared" ca="1" si="28"/>
        <v>12</v>
      </c>
      <c r="AL56" s="1">
        <f t="shared" ca="1" si="28"/>
        <v>96</v>
      </c>
      <c r="AM56" s="1">
        <f t="shared" ca="1" si="28"/>
        <v>70</v>
      </c>
      <c r="AN56" s="1">
        <f t="shared" ca="1" si="27"/>
        <v>62</v>
      </c>
      <c r="AO56" s="1">
        <f t="shared" ca="1" si="27"/>
        <v>71</v>
      </c>
      <c r="AP56" s="1">
        <f t="shared" ca="1" si="27"/>
        <v>35</v>
      </c>
      <c r="AQ56" s="1"/>
      <c r="AR56" s="1"/>
      <c r="AS56" s="33">
        <v>56</v>
      </c>
      <c r="AT56" s="33" t="s">
        <v>678</v>
      </c>
      <c r="AU56" s="34" t="s">
        <v>555</v>
      </c>
      <c r="AV56" s="34" t="s">
        <v>555</v>
      </c>
      <c r="AW56" s="34" t="s">
        <v>692</v>
      </c>
      <c r="AX56" s="34" t="s">
        <v>683</v>
      </c>
      <c r="AY56" s="35" t="s">
        <v>683</v>
      </c>
      <c r="AZ56" s="34" t="s">
        <v>692</v>
      </c>
      <c r="BA56" s="34" t="s">
        <v>695</v>
      </c>
      <c r="BB56" s="34" t="s">
        <v>700</v>
      </c>
      <c r="BC56" s="34" t="s">
        <v>189</v>
      </c>
      <c r="BD56" s="34" t="s">
        <v>557</v>
      </c>
      <c r="BE56" s="34" t="s">
        <v>642</v>
      </c>
      <c r="BF56" s="34" t="s">
        <v>658</v>
      </c>
      <c r="BK56" s="33">
        <f t="shared" ca="1" si="29"/>
        <v>19</v>
      </c>
      <c r="BL56" s="33">
        <f t="shared" ca="1" si="29"/>
        <v>48</v>
      </c>
      <c r="BM56" s="33">
        <f t="shared" ca="1" si="29"/>
        <v>4</v>
      </c>
      <c r="BN56" s="33">
        <f t="shared" ca="1" si="29"/>
        <v>12</v>
      </c>
      <c r="BO56" s="33">
        <f t="shared" ca="1" si="29"/>
        <v>56</v>
      </c>
      <c r="BP56" s="33">
        <f t="shared" ca="1" si="29"/>
        <v>53</v>
      </c>
      <c r="BQ56" s="33">
        <f t="shared" ca="1" si="29"/>
        <v>20</v>
      </c>
      <c r="BR56" s="33">
        <f t="shared" ca="1" si="29"/>
        <v>73</v>
      </c>
      <c r="BS56" s="33">
        <f t="shared" ca="1" si="29"/>
        <v>4</v>
      </c>
      <c r="BT56" s="33">
        <f t="shared" ca="1" si="29"/>
        <v>86</v>
      </c>
      <c r="BU56" s="33">
        <f t="shared" ca="1" si="29"/>
        <v>99</v>
      </c>
      <c r="BV56" s="33">
        <f t="shared" ca="1" si="29"/>
        <v>53</v>
      </c>
      <c r="BX56" s="36"/>
    </row>
    <row r="57" spans="1:76" x14ac:dyDescent="0.3">
      <c r="A57" s="49">
        <v>56</v>
      </c>
      <c r="B57" s="19" t="str">
        <f t="shared" ca="1" si="21"/>
        <v>Normal</v>
      </c>
      <c r="C57" s="19" t="str">
        <f t="shared" ca="1" si="22"/>
        <v>+1</v>
      </c>
      <c r="D57" s="19">
        <f t="shared" ca="1" si="23"/>
        <v>0</v>
      </c>
      <c r="E57" s="19" t="str">
        <f t="shared" ca="1" si="24"/>
        <v>Nil</v>
      </c>
      <c r="F57" s="19" t="str">
        <f t="shared" ca="1" si="25"/>
        <v>Nil</v>
      </c>
      <c r="G57" s="19" t="str">
        <f ca="1">IF(AB57&lt;=VLOOKUP(D57,'power prob array'!$A:$M,2), VLOOKUP(Swords!BK57,Swords!$AS:$BB,10), "")</f>
        <v/>
      </c>
      <c r="H57" s="19" t="str">
        <f ca="1">IF(AC57&lt;=VLOOKUP(D57,'power prob array'!$A:$M,3), VLOOKUP(Swords!BL57,Swords!$AS:$BB,10), "")</f>
        <v/>
      </c>
      <c r="I57" s="19" t="str">
        <f ca="1">IF(AD57&lt;=VLOOKUP(D57,'power prob array'!$A:$M,4), VLOOKUP(Swords!BM57,Swords!$AS:$BB,10), "")</f>
        <v/>
      </c>
      <c r="J57" s="19" t="str">
        <f ca="1">IF(AE57&lt;=VLOOKUP(D57,'power prob array'!$A:$M,5), VLOOKUP(Swords!BN57,Swords!$AS:$BB,10), "")</f>
        <v/>
      </c>
      <c r="K57" s="19" t="str">
        <f ca="1">IF(AF57&lt;=VLOOKUP(D57,'power prob array'!$A:$M,6), VLOOKUP(Swords!BO57,Swords!$AS:$BB,10), "")</f>
        <v/>
      </c>
      <c r="L57" s="19" t="str">
        <f ca="1">IF(AG57&lt;=VLOOKUP(D57,'power prob array'!$A:$M,7), VLOOKUP(Swords!BP57,Swords!$AS:$BB,10), "")</f>
        <v/>
      </c>
      <c r="M57" s="19" t="str">
        <f t="shared" ca="1" si="26"/>
        <v>No</v>
      </c>
      <c r="N57" s="19" t="str">
        <f ca="1">IF(AI57&lt;=VLOOKUP(D57,'power prob array'!$A:$M,8), VLOOKUP(Swords!BQ57,Swords!$AS:$BC,11), "")</f>
        <v/>
      </c>
      <c r="O57" s="19" t="str">
        <f ca="1">IF(AJ57&lt;=VLOOKUP(D57,'power prob array'!$A:$M,9), VLOOKUP(Swords!BR57,Swords!$AS:$BC,11), "")</f>
        <v/>
      </c>
      <c r="P57" s="19" t="str">
        <f ca="1">IF(AK57&lt;=VLOOKUP(D57,'power prob array'!$A:$M,10), VLOOKUP(Swords!BS57,Swords!$AS:$BC,11), "")</f>
        <v/>
      </c>
      <c r="Q57" s="19" t="str">
        <f ca="1">IF(AL57&lt;=VLOOKUP(D57,'power prob array'!$A:$M,11), VLOOKUP(Swords!BT57,Swords!$AS:$BC,11), "")</f>
        <v/>
      </c>
      <c r="R57" s="19" t="str">
        <f ca="1">IF(AM57&lt;=VLOOKUP(D57,'power prob array'!$A:$M,12), VLOOKUP(Swords!BU57,Swords!$AS:$BC,11), "")</f>
        <v/>
      </c>
      <c r="S57" s="19" t="str">
        <f ca="1">IF(AN57&lt;=VLOOKUP(D57,'power prob array'!$A:$M,13), VLOOKUP(Swords!BV57,Swords!$AS:$BC,11), "")</f>
        <v/>
      </c>
      <c r="T57" s="18" t="str">
        <f t="shared" ca="1" si="8"/>
        <v>No</v>
      </c>
      <c r="U57" s="18" t="str" cm="1">
        <f t="array" aca="1" ref="U57" ca="1">_xlfn.IFS(T57="Talent", VLOOKUP(AP57,$AS:$BF,14), T57="No", "", 1=1, VLOOKUP(AP57,$AS:$BF,13))</f>
        <v/>
      </c>
      <c r="V57" s="1"/>
      <c r="W57" s="1"/>
      <c r="X57" s="1">
        <f t="shared" ca="1" si="28"/>
        <v>10</v>
      </c>
      <c r="Y57" s="1">
        <f t="shared" ca="1" si="28"/>
        <v>62</v>
      </c>
      <c r="Z57" s="1">
        <f t="shared" ca="1" si="28"/>
        <v>55</v>
      </c>
      <c r="AA57" s="1">
        <f t="shared" ca="1" si="28"/>
        <v>21</v>
      </c>
      <c r="AB57" s="1">
        <f t="shared" ca="1" si="28"/>
        <v>82</v>
      </c>
      <c r="AC57" s="1">
        <f t="shared" ca="1" si="28"/>
        <v>79</v>
      </c>
      <c r="AD57" s="1">
        <f t="shared" ca="1" si="28"/>
        <v>91</v>
      </c>
      <c r="AE57" s="1">
        <f t="shared" ca="1" si="28"/>
        <v>51</v>
      </c>
      <c r="AF57" s="1">
        <f t="shared" ca="1" si="28"/>
        <v>73</v>
      </c>
      <c r="AG57" s="1">
        <f t="shared" ca="1" si="28"/>
        <v>3</v>
      </c>
      <c r="AH57" s="1"/>
      <c r="AI57" s="1">
        <f t="shared" ca="1" si="28"/>
        <v>5</v>
      </c>
      <c r="AJ57" s="1">
        <f t="shared" ca="1" si="28"/>
        <v>31</v>
      </c>
      <c r="AK57" s="1">
        <f t="shared" ca="1" si="28"/>
        <v>96</v>
      </c>
      <c r="AL57" s="1">
        <f t="shared" ca="1" si="28"/>
        <v>15</v>
      </c>
      <c r="AM57" s="1">
        <f t="shared" ca="1" si="28"/>
        <v>47</v>
      </c>
      <c r="AN57" s="1">
        <f t="shared" ca="1" si="27"/>
        <v>98</v>
      </c>
      <c r="AO57" s="1">
        <f t="shared" ca="1" si="27"/>
        <v>45</v>
      </c>
      <c r="AP57" s="1">
        <f t="shared" ca="1" si="27"/>
        <v>3</v>
      </c>
      <c r="AQ57" s="1"/>
      <c r="AR57" s="1"/>
      <c r="AS57">
        <v>57</v>
      </c>
      <c r="AT57" t="s">
        <v>678</v>
      </c>
      <c r="AU57" s="9" t="s">
        <v>555</v>
      </c>
      <c r="AV57" s="9" t="s">
        <v>555</v>
      </c>
      <c r="AW57" s="9" t="s">
        <v>692</v>
      </c>
      <c r="AX57" s="9" t="s">
        <v>683</v>
      </c>
      <c r="AY57" s="16" t="s">
        <v>683</v>
      </c>
      <c r="AZ57" s="9" t="s">
        <v>692</v>
      </c>
      <c r="BA57" s="9" t="s">
        <v>695</v>
      </c>
      <c r="BB57" s="9" t="s">
        <v>700</v>
      </c>
      <c r="BC57" s="9" t="s">
        <v>189</v>
      </c>
      <c r="BD57" s="9" t="s">
        <v>557</v>
      </c>
      <c r="BE57" s="9" t="s">
        <v>642</v>
      </c>
      <c r="BF57" s="9" t="s">
        <v>658</v>
      </c>
      <c r="BK57">
        <f t="shared" ca="1" si="29"/>
        <v>13</v>
      </c>
      <c r="BL57">
        <f t="shared" ca="1" si="29"/>
        <v>96</v>
      </c>
      <c r="BM57">
        <f t="shared" ca="1" si="29"/>
        <v>70</v>
      </c>
      <c r="BN57">
        <f t="shared" ca="1" si="29"/>
        <v>21</v>
      </c>
      <c r="BO57">
        <f t="shared" ca="1" si="29"/>
        <v>74</v>
      </c>
      <c r="BP57">
        <f t="shared" ca="1" si="29"/>
        <v>28</v>
      </c>
      <c r="BQ57">
        <f t="shared" ca="1" si="29"/>
        <v>78</v>
      </c>
      <c r="BR57">
        <f t="shared" ca="1" si="29"/>
        <v>38</v>
      </c>
      <c r="BS57">
        <f t="shared" ca="1" si="29"/>
        <v>59</v>
      </c>
      <c r="BT57">
        <f t="shared" ca="1" si="29"/>
        <v>52</v>
      </c>
      <c r="BU57">
        <f t="shared" ca="1" si="29"/>
        <v>58</v>
      </c>
      <c r="BV57">
        <f t="shared" ca="1" si="29"/>
        <v>26</v>
      </c>
    </row>
    <row r="58" spans="1:76" s="33" customFormat="1" x14ac:dyDescent="0.3">
      <c r="A58" s="49">
        <v>57</v>
      </c>
      <c r="B58" s="18" t="str">
        <f t="shared" ca="1" si="21"/>
        <v>Two-handed</v>
      </c>
      <c r="C58" s="18" t="str">
        <f t="shared" ca="1" si="22"/>
        <v>+1</v>
      </c>
      <c r="D58" s="18">
        <f t="shared" ca="1" si="23"/>
        <v>0</v>
      </c>
      <c r="E58" s="18" t="str">
        <f t="shared" ca="1" si="24"/>
        <v>Nil</v>
      </c>
      <c r="F58" s="18" t="str">
        <f t="shared" ca="1" si="25"/>
        <v>Nil</v>
      </c>
      <c r="G58" s="18" t="str">
        <f ca="1">IF(AB58&lt;=VLOOKUP(D58,'power prob array'!$A:$M,2), VLOOKUP(Swords!BK58,Swords!$AS:$BB,10), "")</f>
        <v/>
      </c>
      <c r="H58" s="18" t="str">
        <f ca="1">IF(AC58&lt;=VLOOKUP(D58,'power prob array'!$A:$M,3), VLOOKUP(Swords!BL58,Swords!$AS:$BB,10), "")</f>
        <v/>
      </c>
      <c r="I58" s="18" t="str">
        <f ca="1">IF(AD58&lt;=VLOOKUP(D58,'power prob array'!$A:$M,4), VLOOKUP(Swords!BM58,Swords!$AS:$BB,10), "")</f>
        <v/>
      </c>
      <c r="J58" s="18" t="str">
        <f ca="1">IF(AE58&lt;=VLOOKUP(D58,'power prob array'!$A:$M,5), VLOOKUP(Swords!BN58,Swords!$AS:$BB,10), "")</f>
        <v/>
      </c>
      <c r="K58" s="18" t="str">
        <f ca="1">IF(AF58&lt;=VLOOKUP(D58,'power prob array'!$A:$M,6), VLOOKUP(Swords!BO58,Swords!$AS:$BB,10), "")</f>
        <v/>
      </c>
      <c r="L58" s="18" t="str">
        <f ca="1">IF(AG58&lt;=VLOOKUP(D58,'power prob array'!$A:$M,7), VLOOKUP(Swords!BP58,Swords!$AS:$BB,10), "")</f>
        <v/>
      </c>
      <c r="M58" s="18" t="str">
        <f t="shared" ca="1" si="26"/>
        <v>No</v>
      </c>
      <c r="N58" s="18" t="str">
        <f ca="1">IF(AI58&lt;=VLOOKUP(D58,'power prob array'!$A:$M,8), VLOOKUP(Swords!BQ58,Swords!$AS:$BC,11), "")</f>
        <v/>
      </c>
      <c r="O58" s="18" t="str">
        <f ca="1">IF(AJ58&lt;=VLOOKUP(D58,'power prob array'!$A:$M,9), VLOOKUP(Swords!BR58,Swords!$AS:$BC,11), "")</f>
        <v/>
      </c>
      <c r="P58" s="18" t="str">
        <f ca="1">IF(AK58&lt;=VLOOKUP(D58,'power prob array'!$A:$M,10), VLOOKUP(Swords!BS58,Swords!$AS:$BC,11), "")</f>
        <v/>
      </c>
      <c r="Q58" s="18" t="str">
        <f ca="1">IF(AL58&lt;=VLOOKUP(D58,'power prob array'!$A:$M,11), VLOOKUP(Swords!BT58,Swords!$AS:$BC,11), "")</f>
        <v/>
      </c>
      <c r="R58" s="18" t="str">
        <f ca="1">IF(AM58&lt;=VLOOKUP(D58,'power prob array'!$A:$M,12), VLOOKUP(Swords!BU58,Swords!$AS:$BC,11), "")</f>
        <v/>
      </c>
      <c r="S58" s="18" t="str">
        <f ca="1">IF(AN58&lt;=VLOOKUP(D58,'power prob array'!$A:$M,13), VLOOKUP(Swords!BV58,Swords!$AS:$BC,11), "")</f>
        <v/>
      </c>
      <c r="T58" s="18" t="str">
        <f t="shared" ca="1" si="8"/>
        <v>No</v>
      </c>
      <c r="U58" s="18" t="str" cm="1">
        <f t="array" aca="1" ref="U58" ca="1">_xlfn.IFS(T58="Talent", VLOOKUP(AP58,$AS:$BF,14), T58="No", "", 1=1, VLOOKUP(AP58,$AS:$BF,13))</f>
        <v/>
      </c>
      <c r="V58" s="1"/>
      <c r="W58" s="1"/>
      <c r="X58" s="1">
        <f t="shared" ca="1" si="28"/>
        <v>89</v>
      </c>
      <c r="Y58" s="1">
        <f t="shared" ca="1" si="28"/>
        <v>47</v>
      </c>
      <c r="Z58" s="1">
        <f t="shared" ca="1" si="28"/>
        <v>16</v>
      </c>
      <c r="AA58" s="1">
        <f t="shared" ca="1" si="28"/>
        <v>35</v>
      </c>
      <c r="AB58" s="1">
        <f t="shared" ca="1" si="28"/>
        <v>82</v>
      </c>
      <c r="AC58" s="1">
        <f t="shared" ca="1" si="28"/>
        <v>68</v>
      </c>
      <c r="AD58" s="1">
        <f t="shared" ca="1" si="28"/>
        <v>78</v>
      </c>
      <c r="AE58" s="1">
        <f t="shared" ca="1" si="28"/>
        <v>1</v>
      </c>
      <c r="AF58" s="1">
        <f t="shared" ca="1" si="28"/>
        <v>82</v>
      </c>
      <c r="AG58" s="1">
        <f t="shared" ca="1" si="28"/>
        <v>25</v>
      </c>
      <c r="AH58" s="1"/>
      <c r="AI58" s="1">
        <f t="shared" ca="1" si="28"/>
        <v>46</v>
      </c>
      <c r="AJ58" s="1">
        <f t="shared" ca="1" si="28"/>
        <v>39</v>
      </c>
      <c r="AK58" s="1">
        <f t="shared" ca="1" si="28"/>
        <v>94</v>
      </c>
      <c r="AL58" s="1">
        <f t="shared" ca="1" si="28"/>
        <v>24</v>
      </c>
      <c r="AM58" s="1">
        <f t="shared" ca="1" si="28"/>
        <v>41</v>
      </c>
      <c r="AN58" s="1">
        <f t="shared" ca="1" si="27"/>
        <v>4</v>
      </c>
      <c r="AO58" s="1">
        <f t="shared" ca="1" si="27"/>
        <v>63</v>
      </c>
      <c r="AP58" s="1">
        <f t="shared" ca="1" si="27"/>
        <v>25</v>
      </c>
      <c r="AQ58" s="1"/>
      <c r="AR58" s="1"/>
      <c r="AS58" s="33">
        <v>58</v>
      </c>
      <c r="AT58" s="33" t="s">
        <v>678</v>
      </c>
      <c r="AU58" s="34" t="s">
        <v>555</v>
      </c>
      <c r="AV58" s="34" t="s">
        <v>555</v>
      </c>
      <c r="AW58" s="34" t="s">
        <v>692</v>
      </c>
      <c r="AX58" s="34" t="s">
        <v>683</v>
      </c>
      <c r="AY58" s="35" t="s">
        <v>683</v>
      </c>
      <c r="AZ58" s="34" t="s">
        <v>692</v>
      </c>
      <c r="BA58" s="34" t="s">
        <v>695</v>
      </c>
      <c r="BB58" s="34" t="s">
        <v>700</v>
      </c>
      <c r="BC58" s="34" t="s">
        <v>189</v>
      </c>
      <c r="BD58" s="34" t="s">
        <v>557</v>
      </c>
      <c r="BE58" s="34" t="s">
        <v>642</v>
      </c>
      <c r="BF58" s="34" t="s">
        <v>658</v>
      </c>
      <c r="BK58" s="33">
        <f t="shared" ca="1" si="29"/>
        <v>16</v>
      </c>
      <c r="BL58" s="33">
        <f t="shared" ca="1" si="29"/>
        <v>55</v>
      </c>
      <c r="BM58" s="33">
        <f t="shared" ca="1" si="29"/>
        <v>86</v>
      </c>
      <c r="BN58" s="33">
        <f t="shared" ca="1" si="29"/>
        <v>14</v>
      </c>
      <c r="BO58" s="33">
        <f t="shared" ca="1" si="29"/>
        <v>72</v>
      </c>
      <c r="BP58" s="33">
        <f t="shared" ca="1" si="29"/>
        <v>1</v>
      </c>
      <c r="BQ58" s="33">
        <f t="shared" ca="1" si="29"/>
        <v>71</v>
      </c>
      <c r="BR58" s="33">
        <f t="shared" ca="1" si="29"/>
        <v>99</v>
      </c>
      <c r="BS58" s="33">
        <f t="shared" ca="1" si="29"/>
        <v>20</v>
      </c>
      <c r="BT58" s="33">
        <f t="shared" ca="1" si="29"/>
        <v>27</v>
      </c>
      <c r="BU58" s="33">
        <f t="shared" ca="1" si="29"/>
        <v>49</v>
      </c>
      <c r="BV58" s="33">
        <f t="shared" ca="1" si="29"/>
        <v>67</v>
      </c>
      <c r="BX58" s="36"/>
    </row>
    <row r="59" spans="1:76" x14ac:dyDescent="0.3">
      <c r="A59" s="49">
        <v>58</v>
      </c>
      <c r="B59" s="19" t="str">
        <f t="shared" ca="1" si="21"/>
        <v>Normal</v>
      </c>
      <c r="C59" s="19" t="str">
        <f t="shared" ca="1" si="22"/>
        <v>+1</v>
      </c>
      <c r="D59" s="19">
        <f t="shared" ca="1" si="23"/>
        <v>0</v>
      </c>
      <c r="E59" s="19" t="str">
        <f t="shared" ca="1" si="24"/>
        <v>Nil</v>
      </c>
      <c r="F59" s="19" t="str">
        <f t="shared" ca="1" si="25"/>
        <v>Nil</v>
      </c>
      <c r="G59" s="19" t="str">
        <f ca="1">IF(AB59&lt;=VLOOKUP(D59,'power prob array'!$A:$M,2), VLOOKUP(Swords!BK59,Swords!$AS:$BB,10), "")</f>
        <v/>
      </c>
      <c r="H59" s="19" t="str">
        <f ca="1">IF(AC59&lt;=VLOOKUP(D59,'power prob array'!$A:$M,3), VLOOKUP(Swords!BL59,Swords!$AS:$BB,10), "")</f>
        <v/>
      </c>
      <c r="I59" s="19" t="str">
        <f ca="1">IF(AD59&lt;=VLOOKUP(D59,'power prob array'!$A:$M,4), VLOOKUP(Swords!BM59,Swords!$AS:$BB,10), "")</f>
        <v/>
      </c>
      <c r="J59" s="19" t="str">
        <f ca="1">IF(AE59&lt;=VLOOKUP(D59,'power prob array'!$A:$M,5), VLOOKUP(Swords!BN59,Swords!$AS:$BB,10), "")</f>
        <v/>
      </c>
      <c r="K59" s="19" t="str">
        <f ca="1">IF(AF59&lt;=VLOOKUP(D59,'power prob array'!$A:$M,6), VLOOKUP(Swords!BO59,Swords!$AS:$BB,10), "")</f>
        <v/>
      </c>
      <c r="L59" s="19" t="str">
        <f ca="1">IF(AG59&lt;=VLOOKUP(D59,'power prob array'!$A:$M,7), VLOOKUP(Swords!BP59,Swords!$AS:$BB,10), "")</f>
        <v/>
      </c>
      <c r="M59" s="19" t="str">
        <f t="shared" ca="1" si="26"/>
        <v>No</v>
      </c>
      <c r="N59" s="19" t="str">
        <f ca="1">IF(AI59&lt;=VLOOKUP(D59,'power prob array'!$A:$M,8), VLOOKUP(Swords!BQ59,Swords!$AS:$BC,11), "")</f>
        <v/>
      </c>
      <c r="O59" s="19" t="str">
        <f ca="1">IF(AJ59&lt;=VLOOKUP(D59,'power prob array'!$A:$M,9), VLOOKUP(Swords!BR59,Swords!$AS:$BC,11), "")</f>
        <v/>
      </c>
      <c r="P59" s="19" t="str">
        <f ca="1">IF(AK59&lt;=VLOOKUP(D59,'power prob array'!$A:$M,10), VLOOKUP(Swords!BS59,Swords!$AS:$BC,11), "")</f>
        <v/>
      </c>
      <c r="Q59" s="19" t="str">
        <f ca="1">IF(AL59&lt;=VLOOKUP(D59,'power prob array'!$A:$M,11), VLOOKUP(Swords!BT59,Swords!$AS:$BC,11), "")</f>
        <v/>
      </c>
      <c r="R59" s="19" t="str">
        <f ca="1">IF(AM59&lt;=VLOOKUP(D59,'power prob array'!$A:$M,12), VLOOKUP(Swords!BU59,Swords!$AS:$BC,11), "")</f>
        <v/>
      </c>
      <c r="S59" s="19" t="str">
        <f ca="1">IF(AN59&lt;=VLOOKUP(D59,'power prob array'!$A:$M,13), VLOOKUP(Swords!BV59,Swords!$AS:$BC,11), "")</f>
        <v/>
      </c>
      <c r="T59" s="18" t="str">
        <f t="shared" ca="1" si="8"/>
        <v>No</v>
      </c>
      <c r="U59" s="18" t="str" cm="1">
        <f t="array" aca="1" ref="U59" ca="1">_xlfn.IFS(T59="Talent", VLOOKUP(AP59,$AS:$BF,14), T59="No", "", 1=1, VLOOKUP(AP59,$AS:$BF,13))</f>
        <v/>
      </c>
      <c r="V59" s="1"/>
      <c r="W59" s="1"/>
      <c r="X59" s="1">
        <f t="shared" ca="1" si="28"/>
        <v>60</v>
      </c>
      <c r="Y59" s="1">
        <f t="shared" ca="1" si="28"/>
        <v>45</v>
      </c>
      <c r="Z59" s="1">
        <f t="shared" ca="1" si="28"/>
        <v>84</v>
      </c>
      <c r="AA59" s="1">
        <f t="shared" ca="1" si="28"/>
        <v>43</v>
      </c>
      <c r="AB59" s="1">
        <f t="shared" ca="1" si="28"/>
        <v>18</v>
      </c>
      <c r="AC59" s="1">
        <f t="shared" ca="1" si="28"/>
        <v>99</v>
      </c>
      <c r="AD59" s="1">
        <f t="shared" ca="1" si="28"/>
        <v>86</v>
      </c>
      <c r="AE59" s="1">
        <f t="shared" ca="1" si="28"/>
        <v>42</v>
      </c>
      <c r="AF59" s="1">
        <f t="shared" ca="1" si="28"/>
        <v>81</v>
      </c>
      <c r="AG59" s="1">
        <f t="shared" ca="1" si="28"/>
        <v>18</v>
      </c>
      <c r="AH59" s="1"/>
      <c r="AI59" s="1">
        <f t="shared" ca="1" si="28"/>
        <v>86</v>
      </c>
      <c r="AJ59" s="1">
        <f t="shared" ca="1" si="28"/>
        <v>27</v>
      </c>
      <c r="AK59" s="1">
        <f t="shared" ca="1" si="28"/>
        <v>62</v>
      </c>
      <c r="AL59" s="1">
        <f t="shared" ca="1" si="28"/>
        <v>68</v>
      </c>
      <c r="AM59" s="1">
        <f t="shared" ca="1" si="28"/>
        <v>1</v>
      </c>
      <c r="AN59" s="1">
        <f t="shared" ca="1" si="27"/>
        <v>46</v>
      </c>
      <c r="AO59" s="1">
        <f t="shared" ca="1" si="27"/>
        <v>100</v>
      </c>
      <c r="AP59" s="1">
        <f t="shared" ca="1" si="27"/>
        <v>2</v>
      </c>
      <c r="AQ59" s="1"/>
      <c r="AR59" s="1"/>
      <c r="AS59">
        <v>59</v>
      </c>
      <c r="AT59" t="s">
        <v>678</v>
      </c>
      <c r="AU59" s="9" t="s">
        <v>555</v>
      </c>
      <c r="AV59" s="9" t="s">
        <v>555</v>
      </c>
      <c r="AW59" s="9" t="s">
        <v>692</v>
      </c>
      <c r="AX59" s="9" t="s">
        <v>683</v>
      </c>
      <c r="AY59" s="16" t="s">
        <v>683</v>
      </c>
      <c r="AZ59" s="9" t="s">
        <v>692</v>
      </c>
      <c r="BA59" s="9" t="s">
        <v>695</v>
      </c>
      <c r="BB59" s="9" t="s">
        <v>700</v>
      </c>
      <c r="BC59" s="9" t="s">
        <v>189</v>
      </c>
      <c r="BD59" s="9" t="s">
        <v>557</v>
      </c>
      <c r="BE59" s="9" t="s">
        <v>718</v>
      </c>
      <c r="BF59" s="9" t="s">
        <v>658</v>
      </c>
      <c r="BK59">
        <f t="shared" ca="1" si="29"/>
        <v>89</v>
      </c>
      <c r="BL59">
        <f t="shared" ca="1" si="29"/>
        <v>27</v>
      </c>
      <c r="BM59">
        <f t="shared" ca="1" si="29"/>
        <v>2</v>
      </c>
      <c r="BN59">
        <f t="shared" ca="1" si="29"/>
        <v>48</v>
      </c>
      <c r="BO59">
        <f t="shared" ca="1" si="29"/>
        <v>62</v>
      </c>
      <c r="BP59">
        <f t="shared" ca="1" si="29"/>
        <v>66</v>
      </c>
      <c r="BQ59">
        <f t="shared" ca="1" si="29"/>
        <v>71</v>
      </c>
      <c r="BR59">
        <f t="shared" ca="1" si="29"/>
        <v>25</v>
      </c>
      <c r="BS59">
        <f t="shared" ca="1" si="29"/>
        <v>9</v>
      </c>
      <c r="BT59">
        <f t="shared" ca="1" si="29"/>
        <v>32</v>
      </c>
      <c r="BU59">
        <f t="shared" ca="1" si="29"/>
        <v>53</v>
      </c>
      <c r="BV59">
        <f t="shared" ca="1" si="29"/>
        <v>37</v>
      </c>
    </row>
    <row r="60" spans="1:76" s="33" customFormat="1" x14ac:dyDescent="0.3">
      <c r="A60" s="49">
        <v>59</v>
      </c>
      <c r="B60" s="18" t="str">
        <f t="shared" ca="1" si="21"/>
        <v>Short</v>
      </c>
      <c r="C60" s="18" t="str">
        <f t="shared" ca="1" si="22"/>
        <v>+4</v>
      </c>
      <c r="D60" s="18">
        <f t="shared" ca="1" si="23"/>
        <v>0</v>
      </c>
      <c r="E60" s="18" t="str">
        <f t="shared" ca="1" si="24"/>
        <v>Nil</v>
      </c>
      <c r="F60" s="18" t="str">
        <f t="shared" ca="1" si="25"/>
        <v>Nil</v>
      </c>
      <c r="G60" s="18" t="str">
        <f ca="1">IF(AB60&lt;=VLOOKUP(D60,'power prob array'!$A:$M,2), VLOOKUP(Swords!BK60,Swords!$AS:$BB,10), "")</f>
        <v/>
      </c>
      <c r="H60" s="18" t="str">
        <f ca="1">IF(AC60&lt;=VLOOKUP(D60,'power prob array'!$A:$M,3), VLOOKUP(Swords!BL60,Swords!$AS:$BB,10), "")</f>
        <v/>
      </c>
      <c r="I60" s="18" t="str">
        <f ca="1">IF(AD60&lt;=VLOOKUP(D60,'power prob array'!$A:$M,4), VLOOKUP(Swords!BM60,Swords!$AS:$BB,10), "")</f>
        <v/>
      </c>
      <c r="J60" s="18" t="str">
        <f ca="1">IF(AE60&lt;=VLOOKUP(D60,'power prob array'!$A:$M,5), VLOOKUP(Swords!BN60,Swords!$AS:$BB,10), "")</f>
        <v/>
      </c>
      <c r="K60" s="18" t="str">
        <f ca="1">IF(AF60&lt;=VLOOKUP(D60,'power prob array'!$A:$M,6), VLOOKUP(Swords!BO60,Swords!$AS:$BB,10), "")</f>
        <v/>
      </c>
      <c r="L60" s="18" t="str">
        <f ca="1">IF(AG60&lt;=VLOOKUP(D60,'power prob array'!$A:$M,7), VLOOKUP(Swords!BP60,Swords!$AS:$BB,10), "")</f>
        <v/>
      </c>
      <c r="M60" s="18" t="str">
        <f t="shared" ca="1" si="26"/>
        <v>No</v>
      </c>
      <c r="N60" s="18" t="str">
        <f ca="1">IF(AI60&lt;=VLOOKUP(D60,'power prob array'!$A:$M,8), VLOOKUP(Swords!BQ60,Swords!$AS:$BC,11), "")</f>
        <v/>
      </c>
      <c r="O60" s="18" t="str">
        <f ca="1">IF(AJ60&lt;=VLOOKUP(D60,'power prob array'!$A:$M,9), VLOOKUP(Swords!BR60,Swords!$AS:$BC,11), "")</f>
        <v/>
      </c>
      <c r="P60" s="18" t="str">
        <f ca="1">IF(AK60&lt;=VLOOKUP(D60,'power prob array'!$A:$M,10), VLOOKUP(Swords!BS60,Swords!$AS:$BC,11), "")</f>
        <v/>
      </c>
      <c r="Q60" s="18" t="str">
        <f ca="1">IF(AL60&lt;=VLOOKUP(D60,'power prob array'!$A:$M,11), VLOOKUP(Swords!BT60,Swords!$AS:$BC,11), "")</f>
        <v/>
      </c>
      <c r="R60" s="18" t="str">
        <f ca="1">IF(AM60&lt;=VLOOKUP(D60,'power prob array'!$A:$M,12), VLOOKUP(Swords!BU60,Swords!$AS:$BC,11), "")</f>
        <v/>
      </c>
      <c r="S60" s="18" t="str">
        <f ca="1">IF(AN60&lt;=VLOOKUP(D60,'power prob array'!$A:$M,13), VLOOKUP(Swords!BV60,Swords!$AS:$BC,11), "")</f>
        <v/>
      </c>
      <c r="T60" s="18" t="str">
        <f t="shared" ca="1" si="8"/>
        <v>No</v>
      </c>
      <c r="U60" s="18" t="str" cm="1">
        <f t="array" aca="1" ref="U60" ca="1">_xlfn.IFS(T60="Talent", VLOOKUP(AP60,$AS:$BF,14), T60="No", "", 1=1, VLOOKUP(AP60,$AS:$BF,13))</f>
        <v/>
      </c>
      <c r="V60" s="1"/>
      <c r="W60" s="1"/>
      <c r="X60" s="1">
        <f t="shared" ca="1" si="28"/>
        <v>74</v>
      </c>
      <c r="Y60" s="1">
        <f t="shared" ca="1" si="28"/>
        <v>98</v>
      </c>
      <c r="Z60" s="1">
        <f t="shared" ca="1" si="28"/>
        <v>13</v>
      </c>
      <c r="AA60" s="1">
        <f t="shared" ca="1" si="28"/>
        <v>37</v>
      </c>
      <c r="AB60" s="1">
        <f t="shared" ca="1" si="28"/>
        <v>81</v>
      </c>
      <c r="AC60" s="1">
        <f t="shared" ca="1" si="28"/>
        <v>58</v>
      </c>
      <c r="AD60" s="1">
        <f t="shared" ca="1" si="28"/>
        <v>11</v>
      </c>
      <c r="AE60" s="1">
        <f t="shared" ca="1" si="28"/>
        <v>47</v>
      </c>
      <c r="AF60" s="1">
        <f t="shared" ca="1" si="28"/>
        <v>69</v>
      </c>
      <c r="AG60" s="1">
        <f t="shared" ca="1" si="28"/>
        <v>30</v>
      </c>
      <c r="AH60" s="1"/>
      <c r="AI60" s="1">
        <f t="shared" ca="1" si="28"/>
        <v>78</v>
      </c>
      <c r="AJ60" s="1">
        <f t="shared" ca="1" si="28"/>
        <v>41</v>
      </c>
      <c r="AK60" s="1">
        <f t="shared" ca="1" si="28"/>
        <v>39</v>
      </c>
      <c r="AL60" s="1">
        <f t="shared" ca="1" si="28"/>
        <v>93</v>
      </c>
      <c r="AM60" s="1">
        <f t="shared" ca="1" si="28"/>
        <v>3</v>
      </c>
      <c r="AN60" s="1">
        <f t="shared" ca="1" si="27"/>
        <v>68</v>
      </c>
      <c r="AO60" s="1">
        <f t="shared" ca="1" si="27"/>
        <v>88</v>
      </c>
      <c r="AP60" s="1">
        <f t="shared" ca="1" si="27"/>
        <v>13</v>
      </c>
      <c r="AQ60" s="1"/>
      <c r="AR60" s="1"/>
      <c r="AS60" s="33">
        <v>60</v>
      </c>
      <c r="AT60" s="33" t="s">
        <v>678</v>
      </c>
      <c r="AU60" s="34" t="s">
        <v>555</v>
      </c>
      <c r="AV60" s="34" t="s">
        <v>555</v>
      </c>
      <c r="AW60" s="34" t="s">
        <v>692</v>
      </c>
      <c r="AX60" s="34" t="s">
        <v>683</v>
      </c>
      <c r="AY60" s="35" t="s">
        <v>683</v>
      </c>
      <c r="AZ60" s="34" t="s">
        <v>692</v>
      </c>
      <c r="BA60" s="34" t="s">
        <v>695</v>
      </c>
      <c r="BB60" s="34" t="s">
        <v>700</v>
      </c>
      <c r="BC60" s="34" t="s">
        <v>226</v>
      </c>
      <c r="BD60" s="34" t="s">
        <v>557</v>
      </c>
      <c r="BE60" s="34" t="s">
        <v>718</v>
      </c>
      <c r="BF60" s="34" t="s">
        <v>659</v>
      </c>
      <c r="BK60" s="33">
        <f t="shared" ca="1" si="29"/>
        <v>91</v>
      </c>
      <c r="BL60" s="33">
        <f t="shared" ca="1" si="29"/>
        <v>68</v>
      </c>
      <c r="BM60" s="33">
        <f t="shared" ca="1" si="29"/>
        <v>21</v>
      </c>
      <c r="BN60" s="33">
        <f t="shared" ca="1" si="29"/>
        <v>63</v>
      </c>
      <c r="BO60" s="33">
        <f t="shared" ca="1" si="29"/>
        <v>41</v>
      </c>
      <c r="BP60" s="33">
        <f t="shared" ca="1" si="29"/>
        <v>78</v>
      </c>
      <c r="BQ60" s="33">
        <f t="shared" ca="1" si="29"/>
        <v>61</v>
      </c>
      <c r="BR60" s="33">
        <f t="shared" ca="1" si="29"/>
        <v>26</v>
      </c>
      <c r="BS60" s="33">
        <f t="shared" ca="1" si="29"/>
        <v>47</v>
      </c>
      <c r="BT60" s="33">
        <f t="shared" ca="1" si="29"/>
        <v>96</v>
      </c>
      <c r="BU60" s="33">
        <f t="shared" ca="1" si="29"/>
        <v>23</v>
      </c>
      <c r="BV60" s="33">
        <f t="shared" ca="1" si="29"/>
        <v>72</v>
      </c>
      <c r="BX60" s="36"/>
    </row>
    <row r="61" spans="1:76" x14ac:dyDescent="0.3">
      <c r="A61" s="49">
        <v>60</v>
      </c>
      <c r="B61" s="19" t="str">
        <f t="shared" ca="1" si="21"/>
        <v>Bastard</v>
      </c>
      <c r="C61" s="19" t="str">
        <f t="shared" ca="1" si="22"/>
        <v>+1</v>
      </c>
      <c r="D61" s="19">
        <f t="shared" ca="1" si="23"/>
        <v>0</v>
      </c>
      <c r="E61" s="19" t="str">
        <f t="shared" ca="1" si="24"/>
        <v>Nil</v>
      </c>
      <c r="F61" s="19" t="str">
        <f t="shared" ca="1" si="25"/>
        <v>Nil</v>
      </c>
      <c r="G61" s="19" t="str">
        <f ca="1">IF(AB61&lt;=VLOOKUP(D61,'power prob array'!$A:$M,2), VLOOKUP(Swords!BK61,Swords!$AS:$BB,10), "")</f>
        <v/>
      </c>
      <c r="H61" s="19" t="str">
        <f ca="1">IF(AC61&lt;=VLOOKUP(D61,'power prob array'!$A:$M,3), VLOOKUP(Swords!BL61,Swords!$AS:$BB,10), "")</f>
        <v/>
      </c>
      <c r="I61" s="19" t="str">
        <f ca="1">IF(AD61&lt;=VLOOKUP(D61,'power prob array'!$A:$M,4), VLOOKUP(Swords!BM61,Swords!$AS:$BB,10), "")</f>
        <v/>
      </c>
      <c r="J61" s="19" t="str">
        <f ca="1">IF(AE61&lt;=VLOOKUP(D61,'power prob array'!$A:$M,5), VLOOKUP(Swords!BN61,Swords!$AS:$BB,10), "")</f>
        <v/>
      </c>
      <c r="K61" s="19" t="str">
        <f ca="1">IF(AF61&lt;=VLOOKUP(D61,'power prob array'!$A:$M,6), VLOOKUP(Swords!BO61,Swords!$AS:$BB,10), "")</f>
        <v/>
      </c>
      <c r="L61" s="19" t="str">
        <f ca="1">IF(AG61&lt;=VLOOKUP(D61,'power prob array'!$A:$M,7), VLOOKUP(Swords!BP61,Swords!$AS:$BB,10), "")</f>
        <v/>
      </c>
      <c r="M61" s="19" t="str">
        <f t="shared" ca="1" si="26"/>
        <v>No</v>
      </c>
      <c r="N61" s="19" t="str">
        <f ca="1">IF(AI61&lt;=VLOOKUP(D61,'power prob array'!$A:$M,8), VLOOKUP(Swords!BQ61,Swords!$AS:$BC,11), "")</f>
        <v/>
      </c>
      <c r="O61" s="19" t="str">
        <f ca="1">IF(AJ61&lt;=VLOOKUP(D61,'power prob array'!$A:$M,9), VLOOKUP(Swords!BR61,Swords!$AS:$BC,11), "")</f>
        <v/>
      </c>
      <c r="P61" s="19" t="str">
        <f ca="1">IF(AK61&lt;=VLOOKUP(D61,'power prob array'!$A:$M,10), VLOOKUP(Swords!BS61,Swords!$AS:$BC,11), "")</f>
        <v/>
      </c>
      <c r="Q61" s="19" t="str">
        <f ca="1">IF(AL61&lt;=VLOOKUP(D61,'power prob array'!$A:$M,11), VLOOKUP(Swords!BT61,Swords!$AS:$BC,11), "")</f>
        <v/>
      </c>
      <c r="R61" s="19" t="str">
        <f ca="1">IF(AM61&lt;=VLOOKUP(D61,'power prob array'!$A:$M,12), VLOOKUP(Swords!BU61,Swords!$AS:$BC,11), "")</f>
        <v/>
      </c>
      <c r="S61" s="19" t="str">
        <f ca="1">IF(AN61&lt;=VLOOKUP(D61,'power prob array'!$A:$M,13), VLOOKUP(Swords!BV61,Swords!$AS:$BC,11), "")</f>
        <v/>
      </c>
      <c r="T61" s="18" t="str">
        <f t="shared" ca="1" si="8"/>
        <v>+1</v>
      </c>
      <c r="U61" s="18" t="str" cm="1">
        <f t="array" aca="1" ref="U61" ca="1">_xlfn.IFS(T61="Talent", VLOOKUP(AP61,$AS:$BF,14), T61="No", "", 1=1, VLOOKUP(AP61,$AS:$BF,13))</f>
        <v>Enchanted Monsters</v>
      </c>
      <c r="V61" s="1"/>
      <c r="W61" s="1"/>
      <c r="X61" s="1">
        <f t="shared" ca="1" si="28"/>
        <v>97</v>
      </c>
      <c r="Y61" s="1">
        <f t="shared" ca="1" si="28"/>
        <v>35</v>
      </c>
      <c r="Z61" s="1">
        <f t="shared" ca="1" si="28"/>
        <v>30</v>
      </c>
      <c r="AA61" s="1">
        <f t="shared" ca="1" si="28"/>
        <v>21</v>
      </c>
      <c r="AB61" s="1">
        <f t="shared" ca="1" si="28"/>
        <v>80</v>
      </c>
      <c r="AC61" s="1">
        <f t="shared" ca="1" si="28"/>
        <v>33</v>
      </c>
      <c r="AD61" s="1">
        <f t="shared" ca="1" si="28"/>
        <v>44</v>
      </c>
      <c r="AE61" s="1">
        <f t="shared" ca="1" si="28"/>
        <v>94</v>
      </c>
      <c r="AF61" s="1">
        <f t="shared" ca="1" si="28"/>
        <v>69</v>
      </c>
      <c r="AG61" s="1">
        <f t="shared" ca="1" si="28"/>
        <v>68</v>
      </c>
      <c r="AH61" s="1"/>
      <c r="AI61" s="1">
        <f t="shared" ca="1" si="28"/>
        <v>61</v>
      </c>
      <c r="AJ61" s="1">
        <f t="shared" ca="1" si="28"/>
        <v>77</v>
      </c>
      <c r="AK61" s="1">
        <f t="shared" ca="1" si="28"/>
        <v>78</v>
      </c>
      <c r="AL61" s="1">
        <f t="shared" ca="1" si="28"/>
        <v>46</v>
      </c>
      <c r="AM61" s="1">
        <f t="shared" ca="1" si="28"/>
        <v>7</v>
      </c>
      <c r="AN61" s="1">
        <f t="shared" ca="1" si="27"/>
        <v>61</v>
      </c>
      <c r="AO61" s="1">
        <f t="shared" ca="1" si="27"/>
        <v>20</v>
      </c>
      <c r="AP61" s="1">
        <f t="shared" ca="1" si="27"/>
        <v>20</v>
      </c>
      <c r="AQ61" s="1"/>
      <c r="AR61" s="1"/>
      <c r="AS61">
        <v>61</v>
      </c>
      <c r="AT61" t="s">
        <v>678</v>
      </c>
      <c r="AU61" s="9" t="s">
        <v>556</v>
      </c>
      <c r="AV61" s="9" t="s">
        <v>555</v>
      </c>
      <c r="AW61" s="9" t="s">
        <v>692</v>
      </c>
      <c r="AX61" s="9" t="s">
        <v>683</v>
      </c>
      <c r="AY61" s="16" t="s">
        <v>683</v>
      </c>
      <c r="AZ61" s="9" t="s">
        <v>692</v>
      </c>
      <c r="BA61" s="9" t="s">
        <v>695</v>
      </c>
      <c r="BB61" s="9" t="s">
        <v>700</v>
      </c>
      <c r="BC61" s="9" t="s">
        <v>226</v>
      </c>
      <c r="BD61" s="9" t="s">
        <v>557</v>
      </c>
      <c r="BE61" s="9" t="s">
        <v>718</v>
      </c>
      <c r="BF61" s="9" t="s">
        <v>659</v>
      </c>
      <c r="BK61">
        <f t="shared" ca="1" si="29"/>
        <v>8</v>
      </c>
      <c r="BL61">
        <f t="shared" ca="1" si="29"/>
        <v>50</v>
      </c>
      <c r="BM61">
        <f t="shared" ca="1" si="29"/>
        <v>32</v>
      </c>
      <c r="BN61">
        <f t="shared" ca="1" si="29"/>
        <v>81</v>
      </c>
      <c r="BO61">
        <f t="shared" ca="1" si="29"/>
        <v>66</v>
      </c>
      <c r="BP61">
        <f t="shared" ca="1" si="29"/>
        <v>3</v>
      </c>
      <c r="BQ61">
        <f t="shared" ca="1" si="29"/>
        <v>30</v>
      </c>
      <c r="BR61">
        <f t="shared" ca="1" si="29"/>
        <v>61</v>
      </c>
      <c r="BS61">
        <f t="shared" ca="1" si="29"/>
        <v>40</v>
      </c>
      <c r="BT61">
        <f t="shared" ca="1" si="29"/>
        <v>52</v>
      </c>
      <c r="BU61">
        <f t="shared" ca="1" si="29"/>
        <v>79</v>
      </c>
      <c r="BV61">
        <f t="shared" ca="1" si="29"/>
        <v>5</v>
      </c>
    </row>
    <row r="62" spans="1:76" s="33" customFormat="1" x14ac:dyDescent="0.3">
      <c r="A62" s="49">
        <v>61</v>
      </c>
      <c r="B62" s="18" t="str">
        <f t="shared" ca="1" si="21"/>
        <v>Two-handed</v>
      </c>
      <c r="C62" s="18" t="str">
        <f t="shared" ca="1" si="22"/>
        <v>+1</v>
      </c>
      <c r="D62" s="18">
        <f t="shared" ca="1" si="23"/>
        <v>0</v>
      </c>
      <c r="E62" s="18" t="str">
        <f t="shared" ca="1" si="24"/>
        <v>Nil</v>
      </c>
      <c r="F62" s="18" t="str">
        <f t="shared" ca="1" si="25"/>
        <v>Nil</v>
      </c>
      <c r="G62" s="18" t="str">
        <f ca="1">IF(AB62&lt;=VLOOKUP(D62,'power prob array'!$A:$M,2), VLOOKUP(Swords!BK62,Swords!$AS:$BB,10), "")</f>
        <v/>
      </c>
      <c r="H62" s="18" t="str">
        <f ca="1">IF(AC62&lt;=VLOOKUP(D62,'power prob array'!$A:$M,3), VLOOKUP(Swords!BL62,Swords!$AS:$BB,10), "")</f>
        <v/>
      </c>
      <c r="I62" s="18" t="str">
        <f ca="1">IF(AD62&lt;=VLOOKUP(D62,'power prob array'!$A:$M,4), VLOOKUP(Swords!BM62,Swords!$AS:$BB,10), "")</f>
        <v/>
      </c>
      <c r="J62" s="18" t="str">
        <f ca="1">IF(AE62&lt;=VLOOKUP(D62,'power prob array'!$A:$M,5), VLOOKUP(Swords!BN62,Swords!$AS:$BB,10), "")</f>
        <v/>
      </c>
      <c r="K62" s="18" t="str">
        <f ca="1">IF(AF62&lt;=VLOOKUP(D62,'power prob array'!$A:$M,6), VLOOKUP(Swords!BO62,Swords!$AS:$BB,10), "")</f>
        <v/>
      </c>
      <c r="L62" s="18" t="str">
        <f ca="1">IF(AG62&lt;=VLOOKUP(D62,'power prob array'!$A:$M,7), VLOOKUP(Swords!BP62,Swords!$AS:$BB,10), "")</f>
        <v/>
      </c>
      <c r="M62" s="18" t="str">
        <f t="shared" ca="1" si="26"/>
        <v>No</v>
      </c>
      <c r="N62" s="18" t="str">
        <f ca="1">IF(AI62&lt;=VLOOKUP(D62,'power prob array'!$A:$M,8), VLOOKUP(Swords!BQ62,Swords!$AS:$BC,11), "")</f>
        <v/>
      </c>
      <c r="O62" s="18" t="str">
        <f ca="1">IF(AJ62&lt;=VLOOKUP(D62,'power prob array'!$A:$M,9), VLOOKUP(Swords!BR62,Swords!$AS:$BC,11), "")</f>
        <v/>
      </c>
      <c r="P62" s="18" t="str">
        <f ca="1">IF(AK62&lt;=VLOOKUP(D62,'power prob array'!$A:$M,10), VLOOKUP(Swords!BS62,Swords!$AS:$BC,11), "")</f>
        <v/>
      </c>
      <c r="Q62" s="18" t="str">
        <f ca="1">IF(AL62&lt;=VLOOKUP(D62,'power prob array'!$A:$M,11), VLOOKUP(Swords!BT62,Swords!$AS:$BC,11), "")</f>
        <v/>
      </c>
      <c r="R62" s="18" t="str">
        <f ca="1">IF(AM62&lt;=VLOOKUP(D62,'power prob array'!$A:$M,12), VLOOKUP(Swords!BU62,Swords!$AS:$BC,11), "")</f>
        <v/>
      </c>
      <c r="S62" s="18" t="str">
        <f ca="1">IF(AN62&lt;=VLOOKUP(D62,'power prob array'!$A:$M,13), VLOOKUP(Swords!BV62,Swords!$AS:$BC,11), "")</f>
        <v/>
      </c>
      <c r="T62" s="18" t="str">
        <f t="shared" ca="1" si="8"/>
        <v>No</v>
      </c>
      <c r="U62" s="18" t="str" cm="1">
        <f t="array" aca="1" ref="U62" ca="1">_xlfn.IFS(T62="Talent", VLOOKUP(AP62,$AS:$BF,14), T62="No", "", 1=1, VLOOKUP(AP62,$AS:$BF,13))</f>
        <v/>
      </c>
      <c r="V62" s="1"/>
      <c r="W62" s="1"/>
      <c r="X62" s="1">
        <f t="shared" ca="1" si="28"/>
        <v>87</v>
      </c>
      <c r="Y62" s="1">
        <f t="shared" ca="1" si="28"/>
        <v>34</v>
      </c>
      <c r="Z62" s="1">
        <f t="shared" ca="1" si="28"/>
        <v>48</v>
      </c>
      <c r="AA62" s="1">
        <f t="shared" ca="1" si="28"/>
        <v>18</v>
      </c>
      <c r="AB62" s="1">
        <f t="shared" ca="1" si="28"/>
        <v>68</v>
      </c>
      <c r="AC62" s="1">
        <f t="shared" ca="1" si="28"/>
        <v>41</v>
      </c>
      <c r="AD62" s="1">
        <f t="shared" ca="1" si="28"/>
        <v>85</v>
      </c>
      <c r="AE62" s="1">
        <f t="shared" ca="1" si="28"/>
        <v>81</v>
      </c>
      <c r="AF62" s="1">
        <f t="shared" ca="1" si="28"/>
        <v>24</v>
      </c>
      <c r="AG62" s="1">
        <f t="shared" ca="1" si="28"/>
        <v>88</v>
      </c>
      <c r="AH62" s="1"/>
      <c r="AI62" s="1">
        <f t="shared" ca="1" si="28"/>
        <v>12</v>
      </c>
      <c r="AJ62" s="1">
        <f t="shared" ca="1" si="28"/>
        <v>20</v>
      </c>
      <c r="AK62" s="1">
        <f t="shared" ca="1" si="28"/>
        <v>11</v>
      </c>
      <c r="AL62" s="1">
        <f t="shared" ca="1" si="28"/>
        <v>4</v>
      </c>
      <c r="AM62" s="1">
        <f t="shared" ca="1" si="28"/>
        <v>23</v>
      </c>
      <c r="AN62" s="1">
        <f t="shared" ca="1" si="27"/>
        <v>93</v>
      </c>
      <c r="AO62" s="1">
        <f t="shared" ca="1" si="27"/>
        <v>64</v>
      </c>
      <c r="AP62" s="1">
        <f t="shared" ca="1" si="27"/>
        <v>69</v>
      </c>
      <c r="AQ62" s="1"/>
      <c r="AR62" s="1"/>
      <c r="AS62" s="33">
        <v>62</v>
      </c>
      <c r="AT62" s="33" t="s">
        <v>678</v>
      </c>
      <c r="AU62" s="34" t="s">
        <v>556</v>
      </c>
      <c r="AV62" s="34" t="s">
        <v>555</v>
      </c>
      <c r="AW62" s="34" t="s">
        <v>692</v>
      </c>
      <c r="AX62" s="34" t="s">
        <v>683</v>
      </c>
      <c r="AY62" s="35" t="s">
        <v>683</v>
      </c>
      <c r="AZ62" s="34" t="s">
        <v>692</v>
      </c>
      <c r="BA62" s="34" t="s">
        <v>695</v>
      </c>
      <c r="BB62" s="34" t="s">
        <v>700</v>
      </c>
      <c r="BC62" s="34" t="s">
        <v>226</v>
      </c>
      <c r="BD62" s="34" t="s">
        <v>557</v>
      </c>
      <c r="BE62" s="34" t="s">
        <v>718</v>
      </c>
      <c r="BF62" s="34" t="s">
        <v>659</v>
      </c>
      <c r="BK62" s="33">
        <f t="shared" ca="1" si="29"/>
        <v>50</v>
      </c>
      <c r="BL62" s="33">
        <f t="shared" ca="1" si="29"/>
        <v>89</v>
      </c>
      <c r="BM62" s="33">
        <f t="shared" ca="1" si="29"/>
        <v>31</v>
      </c>
      <c r="BN62" s="33">
        <f t="shared" ca="1" si="29"/>
        <v>36</v>
      </c>
      <c r="BO62" s="33">
        <f t="shared" ca="1" si="29"/>
        <v>34</v>
      </c>
      <c r="BP62" s="33">
        <f t="shared" ca="1" si="29"/>
        <v>45</v>
      </c>
      <c r="BQ62" s="33">
        <f t="shared" ca="1" si="29"/>
        <v>7</v>
      </c>
      <c r="BR62" s="33">
        <f t="shared" ca="1" si="29"/>
        <v>81</v>
      </c>
      <c r="BS62" s="33">
        <f t="shared" ca="1" si="29"/>
        <v>87</v>
      </c>
      <c r="BT62" s="33">
        <f t="shared" ca="1" si="29"/>
        <v>37</v>
      </c>
      <c r="BU62" s="33">
        <f t="shared" ca="1" si="29"/>
        <v>1</v>
      </c>
      <c r="BV62" s="33">
        <f t="shared" ca="1" si="29"/>
        <v>17</v>
      </c>
      <c r="BX62" s="36"/>
    </row>
    <row r="63" spans="1:76" x14ac:dyDescent="0.3">
      <c r="A63" s="49">
        <v>62</v>
      </c>
      <c r="B63" s="19" t="str">
        <f t="shared" ca="1" si="21"/>
        <v>Short</v>
      </c>
      <c r="C63" s="19" t="str">
        <f t="shared" ca="1" si="22"/>
        <v>+2</v>
      </c>
      <c r="D63" s="19">
        <f t="shared" ca="1" si="23"/>
        <v>0</v>
      </c>
      <c r="E63" s="19" t="str">
        <f t="shared" ca="1" si="24"/>
        <v>Nil</v>
      </c>
      <c r="F63" s="19" t="str">
        <f t="shared" ca="1" si="25"/>
        <v>Nil</v>
      </c>
      <c r="G63" s="19" t="str">
        <f ca="1">IF(AB63&lt;=VLOOKUP(D63,'power prob array'!$A:$M,2), VLOOKUP(Swords!BK63,Swords!$AS:$BB,10), "")</f>
        <v/>
      </c>
      <c r="H63" s="19" t="str">
        <f ca="1">IF(AC63&lt;=VLOOKUP(D63,'power prob array'!$A:$M,3), VLOOKUP(Swords!BL63,Swords!$AS:$BB,10), "")</f>
        <v/>
      </c>
      <c r="I63" s="19" t="str">
        <f ca="1">IF(AD63&lt;=VLOOKUP(D63,'power prob array'!$A:$M,4), VLOOKUP(Swords!BM63,Swords!$AS:$BB,10), "")</f>
        <v/>
      </c>
      <c r="J63" s="19" t="str">
        <f ca="1">IF(AE63&lt;=VLOOKUP(D63,'power prob array'!$A:$M,5), VLOOKUP(Swords!BN63,Swords!$AS:$BB,10), "")</f>
        <v/>
      </c>
      <c r="K63" s="19" t="str">
        <f ca="1">IF(AF63&lt;=VLOOKUP(D63,'power prob array'!$A:$M,6), VLOOKUP(Swords!BO63,Swords!$AS:$BB,10), "")</f>
        <v/>
      </c>
      <c r="L63" s="19" t="str">
        <f ca="1">IF(AG63&lt;=VLOOKUP(D63,'power prob array'!$A:$M,7), VLOOKUP(Swords!BP63,Swords!$AS:$BB,10), "")</f>
        <v/>
      </c>
      <c r="M63" s="19" t="str">
        <f t="shared" ca="1" si="26"/>
        <v>No</v>
      </c>
      <c r="N63" s="19" t="str">
        <f ca="1">IF(AI63&lt;=VLOOKUP(D63,'power prob array'!$A:$M,8), VLOOKUP(Swords!BQ63,Swords!$AS:$BC,11), "")</f>
        <v/>
      </c>
      <c r="O63" s="19" t="str">
        <f ca="1">IF(AJ63&lt;=VLOOKUP(D63,'power prob array'!$A:$M,9), VLOOKUP(Swords!BR63,Swords!$AS:$BC,11), "")</f>
        <v/>
      </c>
      <c r="P63" s="19" t="str">
        <f ca="1">IF(AK63&lt;=VLOOKUP(D63,'power prob array'!$A:$M,10), VLOOKUP(Swords!BS63,Swords!$AS:$BC,11), "")</f>
        <v/>
      </c>
      <c r="Q63" s="19" t="str">
        <f ca="1">IF(AL63&lt;=VLOOKUP(D63,'power prob array'!$A:$M,11), VLOOKUP(Swords!BT63,Swords!$AS:$BC,11), "")</f>
        <v/>
      </c>
      <c r="R63" s="19" t="str">
        <f ca="1">IF(AM63&lt;=VLOOKUP(D63,'power prob array'!$A:$M,12), VLOOKUP(Swords!BU63,Swords!$AS:$BC,11), "")</f>
        <v/>
      </c>
      <c r="S63" s="19" t="str">
        <f ca="1">IF(AN63&lt;=VLOOKUP(D63,'power prob array'!$A:$M,13), VLOOKUP(Swords!BV63,Swords!$AS:$BC,11), "")</f>
        <v/>
      </c>
      <c r="T63" s="18" t="str">
        <f t="shared" ca="1" si="8"/>
        <v>No</v>
      </c>
      <c r="U63" s="18" t="str" cm="1">
        <f t="array" aca="1" ref="U63" ca="1">_xlfn.IFS(T63="Talent", VLOOKUP(AP63,$AS:$BF,14), T63="No", "", 1=1, VLOOKUP(AP63,$AS:$BF,13))</f>
        <v/>
      </c>
      <c r="V63" s="1"/>
      <c r="W63" s="1"/>
      <c r="X63" s="1">
        <f t="shared" ca="1" si="28"/>
        <v>74</v>
      </c>
      <c r="Y63" s="1">
        <f t="shared" ca="1" si="28"/>
        <v>80</v>
      </c>
      <c r="Z63" s="1">
        <f t="shared" ca="1" si="28"/>
        <v>65</v>
      </c>
      <c r="AA63" s="1">
        <f t="shared" ca="1" si="28"/>
        <v>17</v>
      </c>
      <c r="AB63" s="1">
        <f t="shared" ca="1" si="28"/>
        <v>94</v>
      </c>
      <c r="AC63" s="1">
        <f t="shared" ca="1" si="28"/>
        <v>77</v>
      </c>
      <c r="AD63" s="1">
        <f t="shared" ca="1" si="28"/>
        <v>82</v>
      </c>
      <c r="AE63" s="1">
        <f t="shared" ca="1" si="28"/>
        <v>42</v>
      </c>
      <c r="AF63" s="1">
        <f t="shared" ca="1" si="28"/>
        <v>5</v>
      </c>
      <c r="AG63" s="1">
        <f t="shared" ca="1" si="28"/>
        <v>47</v>
      </c>
      <c r="AH63" s="1"/>
      <c r="AI63" s="1">
        <f t="shared" ca="1" si="28"/>
        <v>15</v>
      </c>
      <c r="AJ63" s="1">
        <f t="shared" ca="1" si="28"/>
        <v>19</v>
      </c>
      <c r="AK63" s="1">
        <f t="shared" ca="1" si="28"/>
        <v>4</v>
      </c>
      <c r="AL63" s="1">
        <f t="shared" ca="1" si="28"/>
        <v>80</v>
      </c>
      <c r="AM63" s="1">
        <f t="shared" ca="1" si="28"/>
        <v>50</v>
      </c>
      <c r="AN63" s="1">
        <f t="shared" ca="1" si="27"/>
        <v>22</v>
      </c>
      <c r="AO63" s="1">
        <f t="shared" ca="1" si="27"/>
        <v>63</v>
      </c>
      <c r="AP63" s="1">
        <f t="shared" ca="1" si="27"/>
        <v>20</v>
      </c>
      <c r="AQ63" s="1"/>
      <c r="AR63" s="1"/>
      <c r="AS63">
        <v>63</v>
      </c>
      <c r="AT63" t="s">
        <v>678</v>
      </c>
      <c r="AU63" s="9" t="s">
        <v>556</v>
      </c>
      <c r="AV63" s="9" t="s">
        <v>555</v>
      </c>
      <c r="AW63" s="9" t="s">
        <v>692</v>
      </c>
      <c r="AX63" s="9" t="s">
        <v>683</v>
      </c>
      <c r="AY63" s="16" t="s">
        <v>683</v>
      </c>
      <c r="AZ63" s="9" t="s">
        <v>692</v>
      </c>
      <c r="BA63" s="9" t="s">
        <v>695</v>
      </c>
      <c r="BB63" s="9" t="s">
        <v>700</v>
      </c>
      <c r="BC63" s="9" t="s">
        <v>226</v>
      </c>
      <c r="BD63" s="9" t="s">
        <v>557</v>
      </c>
      <c r="BE63" s="9" t="s">
        <v>718</v>
      </c>
      <c r="BF63" s="9" t="s">
        <v>659</v>
      </c>
      <c r="BK63">
        <f t="shared" ca="1" si="29"/>
        <v>55</v>
      </c>
      <c r="BL63">
        <f t="shared" ca="1" si="29"/>
        <v>55</v>
      </c>
      <c r="BM63">
        <f t="shared" ca="1" si="29"/>
        <v>18</v>
      </c>
      <c r="BN63">
        <f t="shared" ca="1" si="29"/>
        <v>68</v>
      </c>
      <c r="BO63">
        <f t="shared" ca="1" si="29"/>
        <v>42</v>
      </c>
      <c r="BP63">
        <f t="shared" ca="1" si="29"/>
        <v>46</v>
      </c>
      <c r="BQ63">
        <f t="shared" ca="1" si="29"/>
        <v>75</v>
      </c>
      <c r="BR63">
        <f t="shared" ca="1" si="29"/>
        <v>43</v>
      </c>
      <c r="BS63">
        <f t="shared" ca="1" si="29"/>
        <v>44</v>
      </c>
      <c r="BT63">
        <f t="shared" ca="1" si="29"/>
        <v>88</v>
      </c>
      <c r="BU63">
        <f t="shared" ca="1" si="29"/>
        <v>51</v>
      </c>
      <c r="BV63">
        <f t="shared" ca="1" si="29"/>
        <v>2</v>
      </c>
    </row>
    <row r="64" spans="1:76" s="33" customFormat="1" x14ac:dyDescent="0.3">
      <c r="A64" s="49">
        <v>63</v>
      </c>
      <c r="B64" s="18" t="str">
        <f t="shared" ca="1" si="21"/>
        <v>Two-handed</v>
      </c>
      <c r="C64" s="18" t="str">
        <f t="shared" ca="1" si="22"/>
        <v>+1</v>
      </c>
      <c r="D64" s="18">
        <f t="shared" ca="1" si="23"/>
        <v>0</v>
      </c>
      <c r="E64" s="18" t="str">
        <f t="shared" ca="1" si="24"/>
        <v>Nil</v>
      </c>
      <c r="F64" s="18" t="str">
        <f t="shared" ca="1" si="25"/>
        <v>Nil</v>
      </c>
      <c r="G64" s="18" t="str">
        <f ca="1">IF(AB64&lt;=VLOOKUP(D64,'power prob array'!$A:$M,2), VLOOKUP(Swords!BK64,Swords!$AS:$BB,10), "")</f>
        <v/>
      </c>
      <c r="H64" s="18" t="str">
        <f ca="1">IF(AC64&lt;=VLOOKUP(D64,'power prob array'!$A:$M,3), VLOOKUP(Swords!BL64,Swords!$AS:$BB,10), "")</f>
        <v/>
      </c>
      <c r="I64" s="18" t="str">
        <f ca="1">IF(AD64&lt;=VLOOKUP(D64,'power prob array'!$A:$M,4), VLOOKUP(Swords!BM64,Swords!$AS:$BB,10), "")</f>
        <v/>
      </c>
      <c r="J64" s="18" t="str">
        <f ca="1">IF(AE64&lt;=VLOOKUP(D64,'power prob array'!$A:$M,5), VLOOKUP(Swords!BN64,Swords!$AS:$BB,10), "")</f>
        <v/>
      </c>
      <c r="K64" s="18" t="str">
        <f ca="1">IF(AF64&lt;=VLOOKUP(D64,'power prob array'!$A:$M,6), VLOOKUP(Swords!BO64,Swords!$AS:$BB,10), "")</f>
        <v/>
      </c>
      <c r="L64" s="18" t="str">
        <f ca="1">IF(AG64&lt;=VLOOKUP(D64,'power prob array'!$A:$M,7), VLOOKUP(Swords!BP64,Swords!$AS:$BB,10), "")</f>
        <v/>
      </c>
      <c r="M64" s="18" t="str">
        <f t="shared" ca="1" si="26"/>
        <v>No</v>
      </c>
      <c r="N64" s="18" t="str">
        <f ca="1">IF(AI64&lt;=VLOOKUP(D64,'power prob array'!$A:$M,8), VLOOKUP(Swords!BQ64,Swords!$AS:$BC,11), "")</f>
        <v/>
      </c>
      <c r="O64" s="18" t="str">
        <f ca="1">IF(AJ64&lt;=VLOOKUP(D64,'power prob array'!$A:$M,9), VLOOKUP(Swords!BR64,Swords!$AS:$BC,11), "")</f>
        <v/>
      </c>
      <c r="P64" s="18" t="str">
        <f ca="1">IF(AK64&lt;=VLOOKUP(D64,'power prob array'!$A:$M,10), VLOOKUP(Swords!BS64,Swords!$AS:$BC,11), "")</f>
        <v/>
      </c>
      <c r="Q64" s="18" t="str">
        <f ca="1">IF(AL64&lt;=VLOOKUP(D64,'power prob array'!$A:$M,11), VLOOKUP(Swords!BT64,Swords!$AS:$BC,11), "")</f>
        <v/>
      </c>
      <c r="R64" s="18" t="str">
        <f ca="1">IF(AM64&lt;=VLOOKUP(D64,'power prob array'!$A:$M,12), VLOOKUP(Swords!BU64,Swords!$AS:$BC,11), "")</f>
        <v/>
      </c>
      <c r="S64" s="18" t="str">
        <f ca="1">IF(AN64&lt;=VLOOKUP(D64,'power prob array'!$A:$M,13), VLOOKUP(Swords!BV64,Swords!$AS:$BC,11), "")</f>
        <v/>
      </c>
      <c r="T64" s="18" t="str">
        <f t="shared" ca="1" si="8"/>
        <v>+1</v>
      </c>
      <c r="U64" s="18" t="str" cm="1">
        <f t="array" aca="1" ref="U64" ca="1">_xlfn.IFS(T64="Talent", VLOOKUP(AP64,$AS:$BF,14), T64="No", "", 1=1, VLOOKUP(AP64,$AS:$BF,13))</f>
        <v>Enchanted Monsters</v>
      </c>
      <c r="V64" s="1"/>
      <c r="W64" s="1"/>
      <c r="X64" s="1">
        <f t="shared" ca="1" si="28"/>
        <v>85</v>
      </c>
      <c r="Y64" s="1">
        <f t="shared" ca="1" si="28"/>
        <v>2</v>
      </c>
      <c r="Z64" s="1">
        <f t="shared" ca="1" si="28"/>
        <v>4</v>
      </c>
      <c r="AA64" s="1">
        <f t="shared" ca="1" si="28"/>
        <v>5</v>
      </c>
      <c r="AB64" s="1">
        <f t="shared" ca="1" si="28"/>
        <v>41</v>
      </c>
      <c r="AC64" s="1">
        <f t="shared" ca="1" si="28"/>
        <v>9</v>
      </c>
      <c r="AD64" s="1">
        <f t="shared" ca="1" si="28"/>
        <v>41</v>
      </c>
      <c r="AE64" s="1">
        <f t="shared" ca="1" si="28"/>
        <v>18</v>
      </c>
      <c r="AF64" s="1">
        <f t="shared" ca="1" si="28"/>
        <v>47</v>
      </c>
      <c r="AG64" s="1">
        <f t="shared" ca="1" si="28"/>
        <v>67</v>
      </c>
      <c r="AH64" s="1"/>
      <c r="AI64" s="1">
        <f t="shared" ca="1" si="28"/>
        <v>13</v>
      </c>
      <c r="AJ64" s="1">
        <f t="shared" ca="1" si="28"/>
        <v>85</v>
      </c>
      <c r="AK64" s="1">
        <f t="shared" ca="1" si="28"/>
        <v>98</v>
      </c>
      <c r="AL64" s="1">
        <f t="shared" ca="1" si="28"/>
        <v>46</v>
      </c>
      <c r="AM64" s="1">
        <f t="shared" ca="1" si="28"/>
        <v>10</v>
      </c>
      <c r="AN64" s="1">
        <f t="shared" ca="1" si="27"/>
        <v>78</v>
      </c>
      <c r="AO64" s="1">
        <f t="shared" ca="1" si="27"/>
        <v>9</v>
      </c>
      <c r="AP64" s="1">
        <f t="shared" ca="1" si="27"/>
        <v>23</v>
      </c>
      <c r="AQ64" s="1"/>
      <c r="AR64" s="1"/>
      <c r="AS64" s="33">
        <v>64</v>
      </c>
      <c r="AT64" s="33" t="s">
        <v>678</v>
      </c>
      <c r="AU64" s="34" t="s">
        <v>556</v>
      </c>
      <c r="AV64" s="34" t="s">
        <v>555</v>
      </c>
      <c r="AW64" s="34" t="s">
        <v>692</v>
      </c>
      <c r="AX64" s="34" t="s">
        <v>683</v>
      </c>
      <c r="AY64" s="35" t="s">
        <v>683</v>
      </c>
      <c r="AZ64" s="34" t="s">
        <v>692</v>
      </c>
      <c r="BA64" s="34" t="s">
        <v>695</v>
      </c>
      <c r="BB64" s="34" t="s">
        <v>700</v>
      </c>
      <c r="BC64" s="34" t="s">
        <v>226</v>
      </c>
      <c r="BD64" s="34" t="s">
        <v>557</v>
      </c>
      <c r="BE64" s="34" t="s">
        <v>718</v>
      </c>
      <c r="BF64" s="34" t="s">
        <v>659</v>
      </c>
      <c r="BK64" s="33">
        <f t="shared" ca="1" si="29"/>
        <v>10</v>
      </c>
      <c r="BL64" s="33">
        <f t="shared" ca="1" si="29"/>
        <v>100</v>
      </c>
      <c r="BM64" s="33">
        <f t="shared" ca="1" si="29"/>
        <v>99</v>
      </c>
      <c r="BN64" s="33">
        <f t="shared" ca="1" si="29"/>
        <v>99</v>
      </c>
      <c r="BO64" s="33">
        <f t="shared" ca="1" si="29"/>
        <v>18</v>
      </c>
      <c r="BP64" s="33">
        <f t="shared" ca="1" si="29"/>
        <v>59</v>
      </c>
      <c r="BQ64" s="33">
        <f t="shared" ca="1" si="29"/>
        <v>54</v>
      </c>
      <c r="BR64" s="33">
        <f t="shared" ca="1" si="29"/>
        <v>32</v>
      </c>
      <c r="BS64" s="33">
        <f t="shared" ca="1" si="29"/>
        <v>53</v>
      </c>
      <c r="BT64" s="33">
        <f t="shared" ca="1" si="29"/>
        <v>61</v>
      </c>
      <c r="BU64" s="33">
        <f t="shared" ca="1" si="29"/>
        <v>86</v>
      </c>
      <c r="BV64" s="33">
        <f t="shared" ca="1" si="29"/>
        <v>32</v>
      </c>
      <c r="BX64" s="36"/>
    </row>
    <row r="65" spans="1:76" x14ac:dyDescent="0.3">
      <c r="A65" s="49">
        <v>64</v>
      </c>
      <c r="B65" s="19" t="str">
        <f t="shared" ca="1" si="21"/>
        <v>Short</v>
      </c>
      <c r="C65" s="19" t="str">
        <f t="shared" ca="1" si="22"/>
        <v>+1</v>
      </c>
      <c r="D65" s="19">
        <f t="shared" ca="1" si="23"/>
        <v>0</v>
      </c>
      <c r="E65" s="19" t="str">
        <f t="shared" ca="1" si="24"/>
        <v>Nil</v>
      </c>
      <c r="F65" s="19" t="str">
        <f t="shared" ca="1" si="25"/>
        <v>Nil</v>
      </c>
      <c r="G65" s="19" t="str">
        <f ca="1">IF(AB65&lt;=VLOOKUP(D65,'power prob array'!$A:$M,2), VLOOKUP(Swords!BK65,Swords!$AS:$BB,10), "")</f>
        <v/>
      </c>
      <c r="H65" s="19" t="str">
        <f ca="1">IF(AC65&lt;=VLOOKUP(D65,'power prob array'!$A:$M,3), VLOOKUP(Swords!BL65,Swords!$AS:$BB,10), "")</f>
        <v/>
      </c>
      <c r="I65" s="19" t="str">
        <f ca="1">IF(AD65&lt;=VLOOKUP(D65,'power prob array'!$A:$M,4), VLOOKUP(Swords!BM65,Swords!$AS:$BB,10), "")</f>
        <v/>
      </c>
      <c r="J65" s="19" t="str">
        <f ca="1">IF(AE65&lt;=VLOOKUP(D65,'power prob array'!$A:$M,5), VLOOKUP(Swords!BN65,Swords!$AS:$BB,10), "")</f>
        <v/>
      </c>
      <c r="K65" s="19" t="str">
        <f ca="1">IF(AF65&lt;=VLOOKUP(D65,'power prob array'!$A:$M,6), VLOOKUP(Swords!BO65,Swords!$AS:$BB,10), "")</f>
        <v/>
      </c>
      <c r="L65" s="19" t="str">
        <f ca="1">IF(AG65&lt;=VLOOKUP(D65,'power prob array'!$A:$M,7), VLOOKUP(Swords!BP65,Swords!$AS:$BB,10), "")</f>
        <v/>
      </c>
      <c r="M65" s="19" t="str">
        <f t="shared" ca="1" si="26"/>
        <v>No</v>
      </c>
      <c r="N65" s="19" t="str">
        <f ca="1">IF(AI65&lt;=VLOOKUP(D65,'power prob array'!$A:$M,8), VLOOKUP(Swords!BQ65,Swords!$AS:$BC,11), "")</f>
        <v/>
      </c>
      <c r="O65" s="19" t="str">
        <f ca="1">IF(AJ65&lt;=VLOOKUP(D65,'power prob array'!$A:$M,9), VLOOKUP(Swords!BR65,Swords!$AS:$BC,11), "")</f>
        <v/>
      </c>
      <c r="P65" s="19" t="str">
        <f ca="1">IF(AK65&lt;=VLOOKUP(D65,'power prob array'!$A:$M,10), VLOOKUP(Swords!BS65,Swords!$AS:$BC,11), "")</f>
        <v/>
      </c>
      <c r="Q65" s="19" t="str">
        <f ca="1">IF(AL65&lt;=VLOOKUP(D65,'power prob array'!$A:$M,11), VLOOKUP(Swords!BT65,Swords!$AS:$BC,11), "")</f>
        <v/>
      </c>
      <c r="R65" s="19" t="str">
        <f ca="1">IF(AM65&lt;=VLOOKUP(D65,'power prob array'!$A:$M,12), VLOOKUP(Swords!BU65,Swords!$AS:$BC,11), "")</f>
        <v/>
      </c>
      <c r="S65" s="19" t="str">
        <f ca="1">IF(AN65&lt;=VLOOKUP(D65,'power prob array'!$A:$M,13), VLOOKUP(Swords!BV65,Swords!$AS:$BC,11), "")</f>
        <v/>
      </c>
      <c r="T65" s="18" t="str">
        <f t="shared" ca="1" si="8"/>
        <v>No</v>
      </c>
      <c r="U65" s="18" t="str" cm="1">
        <f t="array" aca="1" ref="U65" ca="1">_xlfn.IFS(T65="Talent", VLOOKUP(AP65,$AS:$BF,14), T65="No", "", 1=1, VLOOKUP(AP65,$AS:$BF,13))</f>
        <v/>
      </c>
      <c r="V65" s="1"/>
      <c r="W65" s="1"/>
      <c r="X65" s="1">
        <f t="shared" ref="X65:AM81" ca="1" si="30">RANDBETWEEN(1,100)</f>
        <v>66</v>
      </c>
      <c r="Y65" s="1">
        <f t="shared" ca="1" si="30"/>
        <v>47</v>
      </c>
      <c r="Z65" s="1">
        <f t="shared" ca="1" si="30"/>
        <v>40</v>
      </c>
      <c r="AA65" s="1">
        <f t="shared" ca="1" si="30"/>
        <v>22</v>
      </c>
      <c r="AB65" s="1">
        <f t="shared" ca="1" si="30"/>
        <v>68</v>
      </c>
      <c r="AC65" s="1">
        <f t="shared" ca="1" si="30"/>
        <v>16</v>
      </c>
      <c r="AD65" s="1">
        <f t="shared" ca="1" si="30"/>
        <v>59</v>
      </c>
      <c r="AE65" s="1">
        <f t="shared" ca="1" si="30"/>
        <v>33</v>
      </c>
      <c r="AF65" s="1">
        <f t="shared" ca="1" si="30"/>
        <v>64</v>
      </c>
      <c r="AG65" s="1">
        <f t="shared" ca="1" si="30"/>
        <v>44</v>
      </c>
      <c r="AH65" s="1"/>
      <c r="AI65" s="1">
        <f t="shared" ca="1" si="30"/>
        <v>26</v>
      </c>
      <c r="AJ65" s="1">
        <f t="shared" ca="1" si="30"/>
        <v>5</v>
      </c>
      <c r="AK65" s="1">
        <f t="shared" ca="1" si="30"/>
        <v>3</v>
      </c>
      <c r="AL65" s="1">
        <f t="shared" ca="1" si="30"/>
        <v>34</v>
      </c>
      <c r="AM65" s="1">
        <f t="shared" ca="1" si="30"/>
        <v>25</v>
      </c>
      <c r="AN65" s="1">
        <f t="shared" ca="1" si="27"/>
        <v>86</v>
      </c>
      <c r="AO65" s="1">
        <f t="shared" ca="1" si="27"/>
        <v>54</v>
      </c>
      <c r="AP65" s="1">
        <f t="shared" ca="1" si="27"/>
        <v>66</v>
      </c>
      <c r="AQ65" s="1"/>
      <c r="AR65" s="1"/>
      <c r="AS65">
        <v>65</v>
      </c>
      <c r="AT65" t="s">
        <v>678</v>
      </c>
      <c r="AU65" s="9" t="s">
        <v>556</v>
      </c>
      <c r="AV65" s="9" t="s">
        <v>555</v>
      </c>
      <c r="AW65" s="9" t="s">
        <v>692</v>
      </c>
      <c r="AX65" s="9" t="s">
        <v>683</v>
      </c>
      <c r="AY65" s="16" t="s">
        <v>683</v>
      </c>
      <c r="AZ65" s="9" t="s">
        <v>692</v>
      </c>
      <c r="BA65" s="9" t="s">
        <v>695</v>
      </c>
      <c r="BB65" s="9" t="s">
        <v>700</v>
      </c>
      <c r="BC65" s="9" t="s">
        <v>226</v>
      </c>
      <c r="BD65" s="9" t="s">
        <v>558</v>
      </c>
      <c r="BE65" s="9" t="s">
        <v>718</v>
      </c>
      <c r="BF65" s="9" t="s">
        <v>659</v>
      </c>
      <c r="BK65">
        <f t="shared" ca="1" si="29"/>
        <v>24</v>
      </c>
      <c r="BL65">
        <f t="shared" ca="1" si="29"/>
        <v>64</v>
      </c>
      <c r="BM65">
        <f t="shared" ca="1" si="29"/>
        <v>31</v>
      </c>
      <c r="BN65">
        <f t="shared" ca="1" si="29"/>
        <v>94</v>
      </c>
      <c r="BO65">
        <f t="shared" ca="1" si="29"/>
        <v>43</v>
      </c>
      <c r="BP65">
        <f t="shared" ca="1" si="29"/>
        <v>94</v>
      </c>
      <c r="BQ65">
        <f t="shared" ca="1" si="29"/>
        <v>8</v>
      </c>
      <c r="BR65">
        <f t="shared" ca="1" si="29"/>
        <v>62</v>
      </c>
      <c r="BS65">
        <f t="shared" ca="1" si="29"/>
        <v>62</v>
      </c>
      <c r="BT65">
        <f t="shared" ca="1" si="29"/>
        <v>49</v>
      </c>
      <c r="BU65">
        <f t="shared" ca="1" si="29"/>
        <v>89</v>
      </c>
      <c r="BV65">
        <f t="shared" ca="1" si="29"/>
        <v>72</v>
      </c>
    </row>
    <row r="66" spans="1:76" s="33" customFormat="1" x14ac:dyDescent="0.3">
      <c r="A66" s="49">
        <v>65</v>
      </c>
      <c r="B66" s="18" t="str">
        <f t="shared" ca="1" si="21"/>
        <v>Normal</v>
      </c>
      <c r="C66" s="18" t="str">
        <f t="shared" ca="1" si="22"/>
        <v>+1</v>
      </c>
      <c r="D66" s="18">
        <f t="shared" ca="1" si="23"/>
        <v>7</v>
      </c>
      <c r="E66" s="18" t="str">
        <f t="shared" ca="1" si="24"/>
        <v>Empathy</v>
      </c>
      <c r="F66" s="18" t="str">
        <f t="shared" ca="1" si="25"/>
        <v>Nil</v>
      </c>
      <c r="G66" s="18" t="str">
        <f ca="1">IF(AB66&lt;=VLOOKUP(D66,'power prob array'!$A:$M,2), VLOOKUP(Swords!BK66,Swords!$AS:$BB,10), "")</f>
        <v>Detect Shifting Walls and Rooms</v>
      </c>
      <c r="H66" s="18" t="str">
        <f ca="1">IF(AC66&lt;=VLOOKUP(D66,'power prob array'!$A:$M,3), VLOOKUP(Swords!BL66,Swords!$AS:$BB,10), "")</f>
        <v/>
      </c>
      <c r="I66" s="18" t="str">
        <f ca="1">IF(AD66&lt;=VLOOKUP(D66,'power prob array'!$A:$M,4), VLOOKUP(Swords!BM66,Swords!$AS:$BB,10), "")</f>
        <v/>
      </c>
      <c r="J66" s="18" t="str">
        <f ca="1">IF(AE66&lt;=VLOOKUP(D66,'power prob array'!$A:$M,5), VLOOKUP(Swords!BN66,Swords!$AS:$BB,10), "")</f>
        <v/>
      </c>
      <c r="K66" s="18" t="str">
        <f ca="1">IF(AF66&lt;=VLOOKUP(D66,'power prob array'!$A:$M,6), VLOOKUP(Swords!BO66,Swords!$AS:$BB,10), "")</f>
        <v/>
      </c>
      <c r="L66" s="18" t="str">
        <f ca="1">IF(AG66&lt;=VLOOKUP(D66,'power prob array'!$A:$M,7), VLOOKUP(Swords!BP66,Swords!$AS:$BB,10), "")</f>
        <v/>
      </c>
      <c r="M66" s="18" t="str">
        <f t="shared" ca="1" si="26"/>
        <v>No</v>
      </c>
      <c r="N66" s="18" t="str">
        <f ca="1">IF(AI66&lt;=VLOOKUP(D66,'power prob array'!$A:$M,8), VLOOKUP(Swords!BQ66,Swords!$AS:$BC,11), "")</f>
        <v/>
      </c>
      <c r="O66" s="18" t="str">
        <f ca="1">IF(AJ66&lt;=VLOOKUP(D66,'power prob array'!$A:$M,9), VLOOKUP(Swords!BR66,Swords!$AS:$BC,11), "")</f>
        <v/>
      </c>
      <c r="P66" s="18" t="str">
        <f ca="1">IF(AK66&lt;=VLOOKUP(D66,'power prob array'!$A:$M,10), VLOOKUP(Swords!BS66,Swords!$AS:$BC,11), "")</f>
        <v/>
      </c>
      <c r="Q66" s="18" t="str">
        <f ca="1">IF(AL66&lt;=VLOOKUP(D66,'power prob array'!$A:$M,11), VLOOKUP(Swords!BT66,Swords!$AS:$BC,11), "")</f>
        <v/>
      </c>
      <c r="R66" s="18" t="str">
        <f ca="1">IF(AM66&lt;=VLOOKUP(D66,'power prob array'!$A:$M,12), VLOOKUP(Swords!BU66,Swords!$AS:$BC,11), "")</f>
        <v/>
      </c>
      <c r="S66" s="18" t="str">
        <f ca="1">IF(AN66&lt;=VLOOKUP(D66,'power prob array'!$A:$M,13), VLOOKUP(Swords!BV66,Swords!$AS:$BC,11), "")</f>
        <v/>
      </c>
      <c r="T66" s="18" t="str">
        <f t="shared" ca="1" si="8"/>
        <v>No</v>
      </c>
      <c r="U66" s="18" t="str" cm="1">
        <f t="array" aca="1" ref="U66" ca="1">_xlfn.IFS(T66="Talent", VLOOKUP(AP66,$AS:$BF,14), T66="No", "", 1=1, VLOOKUP(AP66,$AS:$BF,13))</f>
        <v/>
      </c>
      <c r="V66" s="1"/>
      <c r="W66" s="1"/>
      <c r="X66" s="1">
        <f t="shared" ca="1" si="30"/>
        <v>10</v>
      </c>
      <c r="Y66" s="1">
        <f t="shared" ca="1" si="30"/>
        <v>30</v>
      </c>
      <c r="Z66" s="1">
        <f t="shared" ca="1" si="30"/>
        <v>17</v>
      </c>
      <c r="AA66" s="1">
        <f t="shared" ca="1" si="30"/>
        <v>82</v>
      </c>
      <c r="AB66" s="1">
        <f t="shared" ca="1" si="30"/>
        <v>84</v>
      </c>
      <c r="AC66" s="1">
        <f t="shared" ca="1" si="30"/>
        <v>60</v>
      </c>
      <c r="AD66" s="1">
        <f t="shared" ca="1" si="30"/>
        <v>56</v>
      </c>
      <c r="AE66" s="1">
        <f t="shared" ca="1" si="30"/>
        <v>99</v>
      </c>
      <c r="AF66" s="1">
        <f t="shared" ca="1" si="30"/>
        <v>22</v>
      </c>
      <c r="AG66" s="1">
        <f t="shared" ca="1" si="30"/>
        <v>27</v>
      </c>
      <c r="AH66" s="1"/>
      <c r="AI66" s="1">
        <f t="shared" ca="1" si="30"/>
        <v>25</v>
      </c>
      <c r="AJ66" s="1">
        <f t="shared" ca="1" si="30"/>
        <v>25</v>
      </c>
      <c r="AK66" s="1">
        <f t="shared" ca="1" si="30"/>
        <v>81</v>
      </c>
      <c r="AL66" s="1">
        <f t="shared" ca="1" si="30"/>
        <v>92</v>
      </c>
      <c r="AM66" s="1">
        <f t="shared" ca="1" si="30"/>
        <v>56</v>
      </c>
      <c r="AN66" s="1">
        <f t="shared" ca="1" si="27"/>
        <v>11</v>
      </c>
      <c r="AO66" s="1">
        <f t="shared" ca="1" si="27"/>
        <v>64</v>
      </c>
      <c r="AP66" s="1">
        <f t="shared" ca="1" si="27"/>
        <v>36</v>
      </c>
      <c r="AQ66" s="1"/>
      <c r="AR66" s="1"/>
      <c r="AS66" s="33">
        <v>66</v>
      </c>
      <c r="AT66" s="33" t="s">
        <v>679</v>
      </c>
      <c r="AU66" s="34" t="s">
        <v>556</v>
      </c>
      <c r="AV66" s="34" t="s">
        <v>555</v>
      </c>
      <c r="AW66" s="34" t="s">
        <v>692</v>
      </c>
      <c r="AX66" s="34" t="s">
        <v>683</v>
      </c>
      <c r="AY66" s="35" t="s">
        <v>683</v>
      </c>
      <c r="AZ66" s="34" t="s">
        <v>692</v>
      </c>
      <c r="BA66" s="34" t="s">
        <v>695</v>
      </c>
      <c r="BB66" s="34" t="s">
        <v>701</v>
      </c>
      <c r="BC66" s="34" t="s">
        <v>226</v>
      </c>
      <c r="BD66" s="34" t="s">
        <v>558</v>
      </c>
      <c r="BE66" s="34" t="s">
        <v>718</v>
      </c>
      <c r="BF66" s="34" t="s">
        <v>621</v>
      </c>
      <c r="BK66" s="33">
        <f t="shared" ca="1" si="29"/>
        <v>39</v>
      </c>
      <c r="BL66" s="33">
        <f t="shared" ca="1" si="29"/>
        <v>26</v>
      </c>
      <c r="BM66" s="33">
        <f t="shared" ca="1" si="29"/>
        <v>98</v>
      </c>
      <c r="BN66" s="33">
        <f t="shared" ca="1" si="29"/>
        <v>66</v>
      </c>
      <c r="BO66" s="33">
        <f t="shared" ca="1" si="29"/>
        <v>17</v>
      </c>
      <c r="BP66" s="33">
        <f t="shared" ca="1" si="29"/>
        <v>1</v>
      </c>
      <c r="BQ66" s="33">
        <f t="shared" ca="1" si="29"/>
        <v>28</v>
      </c>
      <c r="BR66" s="33">
        <f t="shared" ca="1" si="29"/>
        <v>48</v>
      </c>
      <c r="BS66" s="33">
        <f t="shared" ca="1" si="29"/>
        <v>65</v>
      </c>
      <c r="BT66" s="33">
        <f t="shared" ca="1" si="29"/>
        <v>98</v>
      </c>
      <c r="BU66" s="33">
        <f t="shared" ca="1" si="29"/>
        <v>24</v>
      </c>
      <c r="BV66" s="33">
        <f t="shared" ca="1" si="29"/>
        <v>32</v>
      </c>
      <c r="BX66" s="36"/>
    </row>
    <row r="67" spans="1:76" x14ac:dyDescent="0.3">
      <c r="A67" s="49">
        <v>66</v>
      </c>
      <c r="B67" s="19" t="str">
        <f t="shared" ca="1" si="21"/>
        <v>Normal</v>
      </c>
      <c r="C67" s="19" t="str">
        <f t="shared" ca="1" si="22"/>
        <v>+1</v>
      </c>
      <c r="D67" s="19">
        <f t="shared" ca="1" si="23"/>
        <v>9</v>
      </c>
      <c r="E67" s="19" t="str">
        <f t="shared" ca="1" si="24"/>
        <v>Empathy</v>
      </c>
      <c r="F67" s="19" t="str">
        <f t="shared" ca="1" si="25"/>
        <v>Nil</v>
      </c>
      <c r="G67" s="19" t="str">
        <f ca="1">IF(AB67&lt;=VLOOKUP(D67,'power prob array'!$A:$M,2), VLOOKUP(Swords!BK67,Swords!$AS:$BB,10), "")</f>
        <v>Detect Shifting Walls and Rooms</v>
      </c>
      <c r="H67" s="19" t="str">
        <f ca="1">IF(AC67&lt;=VLOOKUP(D67,'power prob array'!$A:$M,3), VLOOKUP(Swords!BL67,Swords!$AS:$BB,10), "")</f>
        <v>Detect Gems</v>
      </c>
      <c r="I67" s="19" t="str">
        <f ca="1">IF(AD67&lt;=VLOOKUP(D67,'power prob array'!$A:$M,4), VLOOKUP(Swords!BM67,Swords!$AS:$BB,10), "")</f>
        <v>Detect Gems</v>
      </c>
      <c r="J67" s="19" t="str">
        <f ca="1">IF(AE67&lt;=VLOOKUP(D67,'power prob array'!$A:$M,5), VLOOKUP(Swords!BN67,Swords!$AS:$BB,10), "")</f>
        <v/>
      </c>
      <c r="K67" s="19" t="str">
        <f ca="1">IF(AF67&lt;=VLOOKUP(D67,'power prob array'!$A:$M,6), VLOOKUP(Swords!BO67,Swords!$AS:$BB,10), "")</f>
        <v/>
      </c>
      <c r="L67" s="19" t="str">
        <f ca="1">IF(AG67&lt;=VLOOKUP(D67,'power prob array'!$A:$M,7), VLOOKUP(Swords!BP67,Swords!$AS:$BB,10), "")</f>
        <v/>
      </c>
      <c r="M67" s="19" t="str">
        <f t="shared" ca="1" si="26"/>
        <v>No</v>
      </c>
      <c r="N67" s="19" t="str">
        <f ca="1">IF(AI67&lt;=VLOOKUP(D67,'power prob array'!$A:$M,8), VLOOKUP(Swords!BQ67,Swords!$AS:$BC,11), "")</f>
        <v/>
      </c>
      <c r="O67" s="19" t="str">
        <f ca="1">IF(AJ67&lt;=VLOOKUP(D67,'power prob array'!$A:$M,9), VLOOKUP(Swords!BR67,Swords!$AS:$BC,11), "")</f>
        <v/>
      </c>
      <c r="P67" s="19" t="str">
        <f ca="1">IF(AK67&lt;=VLOOKUP(D67,'power prob array'!$A:$M,10), VLOOKUP(Swords!BS67,Swords!$AS:$BC,11), "")</f>
        <v/>
      </c>
      <c r="Q67" s="19" t="str">
        <f ca="1">IF(AL67&lt;=VLOOKUP(D67,'power prob array'!$A:$M,11), VLOOKUP(Swords!BT67,Swords!$AS:$BC,11), "")</f>
        <v/>
      </c>
      <c r="R67" s="19" t="str">
        <f ca="1">IF(AM67&lt;=VLOOKUP(D67,'power prob array'!$A:$M,12), VLOOKUP(Swords!BU67,Swords!$AS:$BC,11), "")</f>
        <v/>
      </c>
      <c r="S67" s="19" t="str">
        <f ca="1">IF(AN67&lt;=VLOOKUP(D67,'power prob array'!$A:$M,13), VLOOKUP(Swords!BV67,Swords!$AS:$BC,11), "")</f>
        <v/>
      </c>
      <c r="T67" s="18" t="str">
        <f t="shared" ref="T67:T101" ca="1" si="31">IF(AO67&lt;=VLOOKUP(C67,$BX:$BY,2), VLOOKUP(AP67,$AS:$BF,12), "No")</f>
        <v>No</v>
      </c>
      <c r="U67" s="18" t="str" cm="1">
        <f t="array" aca="1" ref="U67" ca="1">_xlfn.IFS(T67="Talent", VLOOKUP(AP67,$AS:$BF,14), T67="No", "", 1=1, VLOOKUP(AP67,$AS:$BF,13))</f>
        <v/>
      </c>
      <c r="V67" s="1"/>
      <c r="W67" s="1"/>
      <c r="X67" s="1">
        <f t="shared" ca="1" si="30"/>
        <v>59</v>
      </c>
      <c r="Y67" s="1">
        <f t="shared" ca="1" si="30"/>
        <v>66</v>
      </c>
      <c r="Z67" s="1">
        <f t="shared" ca="1" si="30"/>
        <v>44</v>
      </c>
      <c r="AA67" s="1">
        <f t="shared" ca="1" si="30"/>
        <v>93</v>
      </c>
      <c r="AB67" s="1">
        <f t="shared" ca="1" si="30"/>
        <v>63</v>
      </c>
      <c r="AC67" s="1">
        <f t="shared" ca="1" si="30"/>
        <v>94</v>
      </c>
      <c r="AD67" s="1">
        <f t="shared" ca="1" si="30"/>
        <v>2</v>
      </c>
      <c r="AE67" s="1">
        <f t="shared" ca="1" si="30"/>
        <v>26</v>
      </c>
      <c r="AF67" s="1">
        <f t="shared" ca="1" si="30"/>
        <v>49</v>
      </c>
      <c r="AG67" s="1">
        <f t="shared" ca="1" si="30"/>
        <v>74</v>
      </c>
      <c r="AH67" s="1"/>
      <c r="AI67" s="1">
        <f t="shared" ca="1" si="30"/>
        <v>23</v>
      </c>
      <c r="AJ67" s="1">
        <f t="shared" ca="1" si="30"/>
        <v>88</v>
      </c>
      <c r="AK67" s="1">
        <f t="shared" ca="1" si="30"/>
        <v>41</v>
      </c>
      <c r="AL67" s="1">
        <f t="shared" ca="1" si="30"/>
        <v>24</v>
      </c>
      <c r="AM67" s="1">
        <f t="shared" ca="1" si="30"/>
        <v>67</v>
      </c>
      <c r="AN67" s="1">
        <f t="shared" ca="1" si="27"/>
        <v>44</v>
      </c>
      <c r="AO67" s="1">
        <f t="shared" ca="1" si="27"/>
        <v>76</v>
      </c>
      <c r="AP67" s="1">
        <f t="shared" ca="1" si="27"/>
        <v>61</v>
      </c>
      <c r="AQ67" s="1"/>
      <c r="AR67" s="1"/>
      <c r="AS67">
        <v>67</v>
      </c>
      <c r="AT67" t="s">
        <v>679</v>
      </c>
      <c r="AU67" s="9" t="s">
        <v>556</v>
      </c>
      <c r="AV67" s="9" t="s">
        <v>555</v>
      </c>
      <c r="AW67" s="9" t="s">
        <v>692</v>
      </c>
      <c r="AX67" s="9" t="s">
        <v>683</v>
      </c>
      <c r="AY67" s="16" t="s">
        <v>683</v>
      </c>
      <c r="AZ67" s="9" t="s">
        <v>692</v>
      </c>
      <c r="BA67" s="9" t="s">
        <v>695</v>
      </c>
      <c r="BB67" s="9" t="s">
        <v>701</v>
      </c>
      <c r="BC67" s="9" t="s">
        <v>226</v>
      </c>
      <c r="BD67" s="9" t="s">
        <v>558</v>
      </c>
      <c r="BE67" s="9" t="s">
        <v>718</v>
      </c>
      <c r="BF67" s="9" t="s">
        <v>621</v>
      </c>
      <c r="BK67" s="33">
        <f t="shared" ca="1" si="29"/>
        <v>50</v>
      </c>
      <c r="BL67" s="33">
        <f t="shared" ca="1" si="29"/>
        <v>14</v>
      </c>
      <c r="BM67" s="33">
        <f t="shared" ca="1" si="29"/>
        <v>13</v>
      </c>
      <c r="BN67" s="33">
        <f t="shared" ca="1" si="29"/>
        <v>61</v>
      </c>
      <c r="BO67" s="33">
        <f t="shared" ca="1" si="29"/>
        <v>45</v>
      </c>
      <c r="BP67" s="33">
        <f t="shared" ca="1" si="29"/>
        <v>62</v>
      </c>
      <c r="BQ67" s="33">
        <f t="shared" ca="1" si="29"/>
        <v>50</v>
      </c>
      <c r="BR67" s="33">
        <f t="shared" ca="1" si="29"/>
        <v>1</v>
      </c>
      <c r="BS67" s="33">
        <f t="shared" ca="1" si="29"/>
        <v>23</v>
      </c>
      <c r="BT67" s="33">
        <f t="shared" ca="1" si="29"/>
        <v>7</v>
      </c>
      <c r="BU67" s="33">
        <f t="shared" ca="1" si="29"/>
        <v>62</v>
      </c>
      <c r="BV67" s="33">
        <f t="shared" ca="1" si="29"/>
        <v>20</v>
      </c>
    </row>
    <row r="68" spans="1:76" s="33" customFormat="1" x14ac:dyDescent="0.3">
      <c r="A68" s="49">
        <v>67</v>
      </c>
      <c r="B68" s="18" t="str">
        <f t="shared" ca="1" si="21"/>
        <v>Normal</v>
      </c>
      <c r="C68" s="18" t="str">
        <f t="shared" ca="1" si="22"/>
        <v>+2</v>
      </c>
      <c r="D68" s="18">
        <f t="shared" ca="1" si="23"/>
        <v>0</v>
      </c>
      <c r="E68" s="18" t="str">
        <f t="shared" ca="1" si="24"/>
        <v>Nil</v>
      </c>
      <c r="F68" s="18" t="str">
        <f t="shared" ca="1" si="25"/>
        <v>Nil</v>
      </c>
      <c r="G68" s="18" t="str">
        <f ca="1">IF(AB68&lt;=VLOOKUP(D68,'power prob array'!$A:$M,2), VLOOKUP(Swords!BK68,Swords!$AS:$BB,10), "")</f>
        <v/>
      </c>
      <c r="H68" s="18" t="str">
        <f ca="1">IF(AC68&lt;=VLOOKUP(D68,'power prob array'!$A:$M,3), VLOOKUP(Swords!BL68,Swords!$AS:$BB,10), "")</f>
        <v/>
      </c>
      <c r="I68" s="18" t="str">
        <f ca="1">IF(AD68&lt;=VLOOKUP(D68,'power prob array'!$A:$M,4), VLOOKUP(Swords!BM68,Swords!$AS:$BB,10), "")</f>
        <v/>
      </c>
      <c r="J68" s="18" t="str">
        <f ca="1">IF(AE68&lt;=VLOOKUP(D68,'power prob array'!$A:$M,5), VLOOKUP(Swords!BN68,Swords!$AS:$BB,10), "")</f>
        <v/>
      </c>
      <c r="K68" s="18" t="str">
        <f ca="1">IF(AF68&lt;=VLOOKUP(D68,'power prob array'!$A:$M,6), VLOOKUP(Swords!BO68,Swords!$AS:$BB,10), "")</f>
        <v/>
      </c>
      <c r="L68" s="18" t="str">
        <f ca="1">IF(AG68&lt;=VLOOKUP(D68,'power prob array'!$A:$M,7), VLOOKUP(Swords!BP68,Swords!$AS:$BB,10), "")</f>
        <v/>
      </c>
      <c r="M68" s="18" t="str">
        <f t="shared" ca="1" si="26"/>
        <v>No</v>
      </c>
      <c r="N68" s="18" t="str">
        <f ca="1">IF(AI68&lt;=VLOOKUP(D68,'power prob array'!$A:$M,8), VLOOKUP(Swords!BQ68,Swords!$AS:$BC,11), "")</f>
        <v/>
      </c>
      <c r="O68" s="18" t="str">
        <f ca="1">IF(AJ68&lt;=VLOOKUP(D68,'power prob array'!$A:$M,9), VLOOKUP(Swords!BR68,Swords!$AS:$BC,11), "")</f>
        <v/>
      </c>
      <c r="P68" s="18" t="str">
        <f ca="1">IF(AK68&lt;=VLOOKUP(D68,'power prob array'!$A:$M,10), VLOOKUP(Swords!BS68,Swords!$AS:$BC,11), "")</f>
        <v/>
      </c>
      <c r="Q68" s="18" t="str">
        <f ca="1">IF(AL68&lt;=VLOOKUP(D68,'power prob array'!$A:$M,11), VLOOKUP(Swords!BT68,Swords!$AS:$BC,11), "")</f>
        <v/>
      </c>
      <c r="R68" s="18" t="str">
        <f ca="1">IF(AM68&lt;=VLOOKUP(D68,'power prob array'!$A:$M,12), VLOOKUP(Swords!BU68,Swords!$AS:$BC,11), "")</f>
        <v/>
      </c>
      <c r="S68" s="18" t="str">
        <f ca="1">IF(AN68&lt;=VLOOKUP(D68,'power prob array'!$A:$M,13), VLOOKUP(Swords!BV68,Swords!$AS:$BC,11), "")</f>
        <v/>
      </c>
      <c r="T68" s="18" t="str">
        <f t="shared" ca="1" si="31"/>
        <v>No</v>
      </c>
      <c r="U68" s="18" t="str" cm="1">
        <f t="array" aca="1" ref="U68" ca="1">_xlfn.IFS(T68="Talent", VLOOKUP(AP68,$AS:$BF,14), T68="No", "", 1=1, VLOOKUP(AP68,$AS:$BF,13))</f>
        <v/>
      </c>
      <c r="V68" s="1"/>
      <c r="W68" s="1"/>
      <c r="X68" s="1">
        <f t="shared" ca="1" si="30"/>
        <v>45</v>
      </c>
      <c r="Y68" s="1">
        <f t="shared" ca="1" si="30"/>
        <v>83</v>
      </c>
      <c r="Z68" s="1">
        <f t="shared" ca="1" si="30"/>
        <v>6</v>
      </c>
      <c r="AA68" s="1">
        <f t="shared" ca="1" si="30"/>
        <v>78</v>
      </c>
      <c r="AB68" s="1">
        <f t="shared" ca="1" si="30"/>
        <v>81</v>
      </c>
      <c r="AC68" s="1">
        <f t="shared" ca="1" si="30"/>
        <v>100</v>
      </c>
      <c r="AD68" s="1">
        <f t="shared" ca="1" si="30"/>
        <v>33</v>
      </c>
      <c r="AE68" s="1">
        <f t="shared" ca="1" si="30"/>
        <v>72</v>
      </c>
      <c r="AF68" s="1">
        <f t="shared" ca="1" si="30"/>
        <v>43</v>
      </c>
      <c r="AG68" s="1">
        <f t="shared" ca="1" si="30"/>
        <v>20</v>
      </c>
      <c r="AH68" s="1"/>
      <c r="AI68" s="1">
        <f t="shared" ca="1" si="30"/>
        <v>20</v>
      </c>
      <c r="AJ68" s="1">
        <f t="shared" ca="1" si="30"/>
        <v>52</v>
      </c>
      <c r="AK68" s="1">
        <f t="shared" ca="1" si="30"/>
        <v>41</v>
      </c>
      <c r="AL68" s="1">
        <f t="shared" ca="1" si="30"/>
        <v>55</v>
      </c>
      <c r="AM68" s="1">
        <f t="shared" ca="1" si="30"/>
        <v>35</v>
      </c>
      <c r="AN68" s="1">
        <f t="shared" ca="1" si="27"/>
        <v>7</v>
      </c>
      <c r="AO68" s="1">
        <f t="shared" ca="1" si="27"/>
        <v>72</v>
      </c>
      <c r="AP68" s="1">
        <f t="shared" ca="1" si="27"/>
        <v>92</v>
      </c>
      <c r="AQ68" s="1"/>
      <c r="AR68" s="1"/>
      <c r="AS68" s="33">
        <v>68</v>
      </c>
      <c r="AT68" s="33" t="s">
        <v>679</v>
      </c>
      <c r="AU68" s="34" t="s">
        <v>556</v>
      </c>
      <c r="AV68" s="34" t="s">
        <v>555</v>
      </c>
      <c r="AW68" s="34" t="s">
        <v>692</v>
      </c>
      <c r="AX68" s="34" t="s">
        <v>683</v>
      </c>
      <c r="AY68" s="35" t="s">
        <v>683</v>
      </c>
      <c r="AZ68" s="34" t="s">
        <v>692</v>
      </c>
      <c r="BA68" s="34" t="s">
        <v>695</v>
      </c>
      <c r="BB68" s="34" t="s">
        <v>701</v>
      </c>
      <c r="BC68" s="34" t="s">
        <v>226</v>
      </c>
      <c r="BD68" s="34" t="s">
        <v>558</v>
      </c>
      <c r="BE68" s="34" t="s">
        <v>719</v>
      </c>
      <c r="BF68" s="34" t="s">
        <v>621</v>
      </c>
      <c r="BK68" s="33">
        <f t="shared" ref="BK68:BV89" ca="1" si="32">RANDBETWEEN(1,100)</f>
        <v>3</v>
      </c>
      <c r="BL68" s="33">
        <f t="shared" ca="1" si="32"/>
        <v>10</v>
      </c>
      <c r="BM68" s="33">
        <f t="shared" ca="1" si="32"/>
        <v>34</v>
      </c>
      <c r="BN68" s="33">
        <f t="shared" ca="1" si="32"/>
        <v>20</v>
      </c>
      <c r="BO68" s="33">
        <f t="shared" ca="1" si="32"/>
        <v>5</v>
      </c>
      <c r="BP68" s="33">
        <f t="shared" ca="1" si="32"/>
        <v>77</v>
      </c>
      <c r="BQ68" s="33">
        <f t="shared" ca="1" si="32"/>
        <v>28</v>
      </c>
      <c r="BR68" s="33">
        <f t="shared" ca="1" si="32"/>
        <v>92</v>
      </c>
      <c r="BS68" s="33">
        <f t="shared" ca="1" si="32"/>
        <v>83</v>
      </c>
      <c r="BT68" s="33">
        <f t="shared" ca="1" si="32"/>
        <v>84</v>
      </c>
      <c r="BU68" s="33">
        <f t="shared" ca="1" si="32"/>
        <v>78</v>
      </c>
      <c r="BV68" s="33">
        <f t="shared" ca="1" si="32"/>
        <v>40</v>
      </c>
      <c r="BX68" s="36"/>
    </row>
    <row r="69" spans="1:76" x14ac:dyDescent="0.3">
      <c r="A69" s="49">
        <v>68</v>
      </c>
      <c r="B69" s="19" t="str">
        <f t="shared" ca="1" si="21"/>
        <v>Two-handed</v>
      </c>
      <c r="C69" s="19" t="str">
        <f t="shared" ca="1" si="22"/>
        <v>+2</v>
      </c>
      <c r="D69" s="19">
        <f t="shared" ca="1" si="23"/>
        <v>8</v>
      </c>
      <c r="E69" s="19" t="str">
        <f t="shared" ca="1" si="24"/>
        <v>Empathy</v>
      </c>
      <c r="F69" s="19" t="str">
        <f t="shared" ca="1" si="25"/>
        <v>Nil</v>
      </c>
      <c r="G69" s="19" t="str">
        <f ca="1">IF(AB69&lt;=VLOOKUP(D69,'power prob array'!$A:$M,2), VLOOKUP(Swords!BK69,Swords!$AS:$BB,10), "")</f>
        <v>Detect Gems</v>
      </c>
      <c r="H69" s="19" t="str">
        <f ca="1">IF(AC69&lt;=VLOOKUP(D69,'power prob array'!$A:$M,3), VLOOKUP(Swords!BL69,Swords!$AS:$BB,10), "")</f>
        <v>Detect Shifting Walls and Rooms</v>
      </c>
      <c r="I69" s="19" t="str">
        <f ca="1">IF(AD69&lt;=VLOOKUP(D69,'power prob array'!$A:$M,4), VLOOKUP(Swords!BM69,Swords!$AS:$BB,10), "")</f>
        <v/>
      </c>
      <c r="J69" s="19" t="str">
        <f ca="1">IF(AE69&lt;=VLOOKUP(D69,'power prob array'!$A:$M,5), VLOOKUP(Swords!BN69,Swords!$AS:$BB,10), "")</f>
        <v/>
      </c>
      <c r="K69" s="19" t="str">
        <f ca="1">IF(AF69&lt;=VLOOKUP(D69,'power prob array'!$A:$M,6), VLOOKUP(Swords!BO69,Swords!$AS:$BB,10), "")</f>
        <v/>
      </c>
      <c r="L69" s="19" t="str">
        <f ca="1">IF(AG69&lt;=VLOOKUP(D69,'power prob array'!$A:$M,7), VLOOKUP(Swords!BP69,Swords!$AS:$BB,10), "")</f>
        <v/>
      </c>
      <c r="M69" s="19" t="str">
        <f t="shared" ca="1" si="26"/>
        <v>No</v>
      </c>
      <c r="N69" s="19" t="str">
        <f ca="1">IF(AI69&lt;=VLOOKUP(D69,'power prob array'!$A:$M,8), VLOOKUP(Swords!BQ69,Swords!$AS:$BC,11), "")</f>
        <v/>
      </c>
      <c r="O69" s="19" t="str">
        <f ca="1">IF(AJ69&lt;=VLOOKUP(D69,'power prob array'!$A:$M,9), VLOOKUP(Swords!BR69,Swords!$AS:$BC,11), "")</f>
        <v/>
      </c>
      <c r="P69" s="19" t="str">
        <f ca="1">IF(AK69&lt;=VLOOKUP(D69,'power prob array'!$A:$M,10), VLOOKUP(Swords!BS69,Swords!$AS:$BC,11), "")</f>
        <v/>
      </c>
      <c r="Q69" s="19" t="str">
        <f ca="1">IF(AL69&lt;=VLOOKUP(D69,'power prob array'!$A:$M,11), VLOOKUP(Swords!BT69,Swords!$AS:$BC,11), "")</f>
        <v/>
      </c>
      <c r="R69" s="19" t="str">
        <f ca="1">IF(AM69&lt;=VLOOKUP(D69,'power prob array'!$A:$M,12), VLOOKUP(Swords!BU69,Swords!$AS:$BC,11), "")</f>
        <v/>
      </c>
      <c r="S69" s="19" t="str">
        <f ca="1">IF(AN69&lt;=VLOOKUP(D69,'power prob array'!$A:$M,13), VLOOKUP(Swords!BV69,Swords!$AS:$BC,11), "")</f>
        <v/>
      </c>
      <c r="T69" s="18" t="str">
        <f t="shared" ca="1" si="31"/>
        <v>No</v>
      </c>
      <c r="U69" s="18" t="str" cm="1">
        <f t="array" aca="1" ref="U69" ca="1">_xlfn.IFS(T69="Talent", VLOOKUP(AP69,$AS:$BF,14), T69="No", "", 1=1, VLOOKUP(AP69,$AS:$BF,13))</f>
        <v/>
      </c>
      <c r="V69" s="1"/>
      <c r="W69" s="1"/>
      <c r="X69" s="1">
        <f t="shared" ca="1" si="30"/>
        <v>85</v>
      </c>
      <c r="Y69" s="1">
        <f t="shared" ca="1" si="30"/>
        <v>75</v>
      </c>
      <c r="Z69" s="1">
        <f t="shared" ca="1" si="30"/>
        <v>29</v>
      </c>
      <c r="AA69" s="1">
        <f t="shared" ca="1" si="30"/>
        <v>86</v>
      </c>
      <c r="AB69" s="1">
        <f t="shared" ca="1" si="30"/>
        <v>89</v>
      </c>
      <c r="AC69" s="1">
        <f t="shared" ca="1" si="30"/>
        <v>47</v>
      </c>
      <c r="AD69" s="1">
        <f t="shared" ca="1" si="30"/>
        <v>10</v>
      </c>
      <c r="AE69" s="1">
        <f t="shared" ca="1" si="30"/>
        <v>40</v>
      </c>
      <c r="AF69" s="1">
        <f t="shared" ca="1" si="30"/>
        <v>70</v>
      </c>
      <c r="AG69" s="1">
        <f t="shared" ca="1" si="30"/>
        <v>100</v>
      </c>
      <c r="AH69" s="1"/>
      <c r="AI69" s="1">
        <f t="shared" ca="1" si="30"/>
        <v>38</v>
      </c>
      <c r="AJ69" s="1">
        <f t="shared" ca="1" si="30"/>
        <v>84</v>
      </c>
      <c r="AK69" s="1">
        <f t="shared" ca="1" si="30"/>
        <v>85</v>
      </c>
      <c r="AL69" s="1">
        <f t="shared" ca="1" si="30"/>
        <v>34</v>
      </c>
      <c r="AM69" s="1">
        <f t="shared" ca="1" si="30"/>
        <v>55</v>
      </c>
      <c r="AN69" s="1">
        <f t="shared" ca="1" si="27"/>
        <v>58</v>
      </c>
      <c r="AO69" s="1">
        <f t="shared" ca="1" si="27"/>
        <v>93</v>
      </c>
      <c r="AP69" s="1">
        <f t="shared" ca="1" si="27"/>
        <v>63</v>
      </c>
      <c r="AQ69" s="1"/>
      <c r="AR69" s="1"/>
      <c r="AS69">
        <v>69</v>
      </c>
      <c r="AT69" t="s">
        <v>679</v>
      </c>
      <c r="AU69" s="9" t="s">
        <v>556</v>
      </c>
      <c r="AV69" s="9" t="s">
        <v>555</v>
      </c>
      <c r="AW69" s="9" t="s">
        <v>692</v>
      </c>
      <c r="AX69" s="9" t="s">
        <v>683</v>
      </c>
      <c r="AY69" s="16" t="s">
        <v>683</v>
      </c>
      <c r="AZ69" s="9" t="s">
        <v>692</v>
      </c>
      <c r="BA69" s="9" t="s">
        <v>695</v>
      </c>
      <c r="BB69" s="9" t="s">
        <v>701</v>
      </c>
      <c r="BC69" s="9" t="s">
        <v>226</v>
      </c>
      <c r="BD69" s="9" t="s">
        <v>558</v>
      </c>
      <c r="BE69" s="9" t="s">
        <v>719</v>
      </c>
      <c r="BF69" s="9" t="s">
        <v>621</v>
      </c>
      <c r="BK69" s="33">
        <f t="shared" ca="1" si="32"/>
        <v>12</v>
      </c>
      <c r="BL69" s="33">
        <f t="shared" ca="1" si="32"/>
        <v>40</v>
      </c>
      <c r="BM69" s="33">
        <f t="shared" ca="1" si="32"/>
        <v>67</v>
      </c>
      <c r="BN69" s="33">
        <f t="shared" ca="1" si="32"/>
        <v>42</v>
      </c>
      <c r="BO69" s="33">
        <f t="shared" ca="1" si="32"/>
        <v>75</v>
      </c>
      <c r="BP69" s="33">
        <f t="shared" ca="1" si="32"/>
        <v>81</v>
      </c>
      <c r="BQ69" s="33">
        <f t="shared" ca="1" si="32"/>
        <v>83</v>
      </c>
      <c r="BR69" s="33">
        <f t="shared" ca="1" si="32"/>
        <v>31</v>
      </c>
      <c r="BS69" s="33">
        <f t="shared" ca="1" si="32"/>
        <v>67</v>
      </c>
      <c r="BT69" s="33">
        <f t="shared" ca="1" si="32"/>
        <v>70</v>
      </c>
      <c r="BU69" s="33">
        <f t="shared" ca="1" si="32"/>
        <v>17</v>
      </c>
      <c r="BV69" s="33">
        <f t="shared" ca="1" si="32"/>
        <v>55</v>
      </c>
    </row>
    <row r="70" spans="1:76" s="33" customFormat="1" x14ac:dyDescent="0.3">
      <c r="A70" s="49">
        <v>69</v>
      </c>
      <c r="B70" s="18" t="str">
        <f t="shared" ca="1" si="21"/>
        <v>Normal</v>
      </c>
      <c r="C70" s="18" t="str">
        <f t="shared" ca="1" si="22"/>
        <v>+1</v>
      </c>
      <c r="D70" s="18">
        <f t="shared" ca="1" si="23"/>
        <v>0</v>
      </c>
      <c r="E70" s="18" t="str">
        <f t="shared" ca="1" si="24"/>
        <v>Nil</v>
      </c>
      <c r="F70" s="18" t="str">
        <f t="shared" ca="1" si="25"/>
        <v>Nil</v>
      </c>
      <c r="G70" s="18" t="str">
        <f ca="1">IF(AB70&lt;=VLOOKUP(D70,'power prob array'!$A:$M,2), VLOOKUP(Swords!BK70,Swords!$AS:$BB,10), "")</f>
        <v/>
      </c>
      <c r="H70" s="18" t="str">
        <f ca="1">IF(AC70&lt;=VLOOKUP(D70,'power prob array'!$A:$M,3), VLOOKUP(Swords!BL70,Swords!$AS:$BB,10), "")</f>
        <v/>
      </c>
      <c r="I70" s="18" t="str">
        <f ca="1">IF(AD70&lt;=VLOOKUP(D70,'power prob array'!$A:$M,4), VLOOKUP(Swords!BM70,Swords!$AS:$BB,10), "")</f>
        <v/>
      </c>
      <c r="J70" s="18" t="str">
        <f ca="1">IF(AE70&lt;=VLOOKUP(D70,'power prob array'!$A:$M,5), VLOOKUP(Swords!BN70,Swords!$AS:$BB,10), "")</f>
        <v/>
      </c>
      <c r="K70" s="18" t="str">
        <f ca="1">IF(AF70&lt;=VLOOKUP(D70,'power prob array'!$A:$M,6), VLOOKUP(Swords!BO70,Swords!$AS:$BB,10), "")</f>
        <v/>
      </c>
      <c r="L70" s="18" t="str">
        <f ca="1">IF(AG70&lt;=VLOOKUP(D70,'power prob array'!$A:$M,7), VLOOKUP(Swords!BP70,Swords!$AS:$BB,10), "")</f>
        <v/>
      </c>
      <c r="M70" s="18" t="str">
        <f t="shared" ca="1" si="26"/>
        <v>No</v>
      </c>
      <c r="N70" s="18" t="str">
        <f ca="1">IF(AI70&lt;=VLOOKUP(D70,'power prob array'!$A:$M,8), VLOOKUP(Swords!BQ70,Swords!$AS:$BC,11), "")</f>
        <v/>
      </c>
      <c r="O70" s="18" t="str">
        <f ca="1">IF(AJ70&lt;=VLOOKUP(D70,'power prob array'!$A:$M,9), VLOOKUP(Swords!BR70,Swords!$AS:$BC,11), "")</f>
        <v/>
      </c>
      <c r="P70" s="18" t="str">
        <f ca="1">IF(AK70&lt;=VLOOKUP(D70,'power prob array'!$A:$M,10), VLOOKUP(Swords!BS70,Swords!$AS:$BC,11), "")</f>
        <v/>
      </c>
      <c r="Q70" s="18" t="str">
        <f ca="1">IF(AL70&lt;=VLOOKUP(D70,'power prob array'!$A:$M,11), VLOOKUP(Swords!BT70,Swords!$AS:$BC,11), "")</f>
        <v/>
      </c>
      <c r="R70" s="18" t="str">
        <f ca="1">IF(AM70&lt;=VLOOKUP(D70,'power prob array'!$A:$M,12), VLOOKUP(Swords!BU70,Swords!$AS:$BC,11), "")</f>
        <v/>
      </c>
      <c r="S70" s="18" t="str">
        <f ca="1">IF(AN70&lt;=VLOOKUP(D70,'power prob array'!$A:$M,13), VLOOKUP(Swords!BV70,Swords!$AS:$BC,11), "")</f>
        <v/>
      </c>
      <c r="T70" s="18" t="str">
        <f t="shared" ca="1" si="31"/>
        <v>+1</v>
      </c>
      <c r="U70" s="18" t="str" cm="1">
        <f t="array" aca="1" ref="U70" ca="1">_xlfn.IFS(T70="Talent", VLOOKUP(AP70,$AS:$BF,14), T70="No", "", 1=1, VLOOKUP(AP70,$AS:$BF,13))</f>
        <v>Enchanted Monsters</v>
      </c>
      <c r="V70" s="1"/>
      <c r="W70" s="1"/>
      <c r="X70" s="1">
        <f t="shared" ca="1" si="30"/>
        <v>42</v>
      </c>
      <c r="Y70" s="1">
        <f t="shared" ca="1" si="30"/>
        <v>15</v>
      </c>
      <c r="Z70" s="1">
        <f t="shared" ca="1" si="30"/>
        <v>2</v>
      </c>
      <c r="AA70" s="1">
        <f t="shared" ca="1" si="30"/>
        <v>75</v>
      </c>
      <c r="AB70" s="1">
        <f t="shared" ca="1" si="30"/>
        <v>69</v>
      </c>
      <c r="AC70" s="1">
        <f t="shared" ca="1" si="30"/>
        <v>97</v>
      </c>
      <c r="AD70" s="1">
        <f t="shared" ca="1" si="30"/>
        <v>17</v>
      </c>
      <c r="AE70" s="1">
        <f t="shared" ca="1" si="30"/>
        <v>13</v>
      </c>
      <c r="AF70" s="1">
        <f t="shared" ca="1" si="30"/>
        <v>36</v>
      </c>
      <c r="AG70" s="1">
        <f t="shared" ca="1" si="30"/>
        <v>18</v>
      </c>
      <c r="AH70" s="1"/>
      <c r="AI70" s="1">
        <f t="shared" ca="1" si="30"/>
        <v>50</v>
      </c>
      <c r="AJ70" s="1">
        <f t="shared" ca="1" si="30"/>
        <v>85</v>
      </c>
      <c r="AK70" s="1">
        <f t="shared" ca="1" si="30"/>
        <v>5</v>
      </c>
      <c r="AL70" s="1">
        <f t="shared" ca="1" si="30"/>
        <v>90</v>
      </c>
      <c r="AM70" s="1">
        <f t="shared" ca="1" si="30"/>
        <v>51</v>
      </c>
      <c r="AN70" s="1">
        <f t="shared" ca="1" si="27"/>
        <v>97</v>
      </c>
      <c r="AO70" s="1">
        <f t="shared" ca="1" si="27"/>
        <v>24</v>
      </c>
      <c r="AP70" s="1">
        <f t="shared" ca="1" si="27"/>
        <v>22</v>
      </c>
      <c r="AQ70" s="1"/>
      <c r="AR70" s="1"/>
      <c r="AS70" s="33">
        <v>70</v>
      </c>
      <c r="AT70" s="33" t="s">
        <v>679</v>
      </c>
      <c r="AU70" s="34" t="s">
        <v>556</v>
      </c>
      <c r="AV70" s="34" t="s">
        <v>555</v>
      </c>
      <c r="AW70" s="34" t="s">
        <v>692</v>
      </c>
      <c r="AX70" s="34" t="s">
        <v>683</v>
      </c>
      <c r="AY70" s="35" t="s">
        <v>683</v>
      </c>
      <c r="AZ70" s="34" t="s">
        <v>692</v>
      </c>
      <c r="BA70" s="34" t="s">
        <v>695</v>
      </c>
      <c r="BB70" s="34" t="s">
        <v>701</v>
      </c>
      <c r="BC70" s="34" t="s">
        <v>715</v>
      </c>
      <c r="BD70" s="34" t="s">
        <v>558</v>
      </c>
      <c r="BE70" s="34" t="s">
        <v>719</v>
      </c>
      <c r="BF70" s="34" t="s">
        <v>621</v>
      </c>
      <c r="BK70" s="33">
        <f t="shared" ca="1" si="32"/>
        <v>52</v>
      </c>
      <c r="BL70" s="33">
        <f t="shared" ca="1" si="32"/>
        <v>38</v>
      </c>
      <c r="BM70" s="33">
        <f t="shared" ca="1" si="32"/>
        <v>77</v>
      </c>
      <c r="BN70" s="33">
        <f t="shared" ca="1" si="32"/>
        <v>28</v>
      </c>
      <c r="BO70" s="33">
        <f t="shared" ca="1" si="32"/>
        <v>18</v>
      </c>
      <c r="BP70" s="33">
        <f t="shared" ca="1" si="32"/>
        <v>28</v>
      </c>
      <c r="BQ70" s="33">
        <f t="shared" ca="1" si="32"/>
        <v>82</v>
      </c>
      <c r="BR70" s="33">
        <f t="shared" ca="1" si="32"/>
        <v>21</v>
      </c>
      <c r="BS70" s="33">
        <f t="shared" ca="1" si="32"/>
        <v>76</v>
      </c>
      <c r="BT70" s="33">
        <f t="shared" ca="1" si="32"/>
        <v>21</v>
      </c>
      <c r="BU70" s="33">
        <f t="shared" ca="1" si="32"/>
        <v>46</v>
      </c>
      <c r="BV70" s="33">
        <f t="shared" ca="1" si="32"/>
        <v>20</v>
      </c>
      <c r="BX70" s="36"/>
    </row>
    <row r="71" spans="1:76" x14ac:dyDescent="0.3">
      <c r="A71" s="49">
        <v>70</v>
      </c>
      <c r="B71" s="19" t="str">
        <f t="shared" ca="1" si="21"/>
        <v>Normal</v>
      </c>
      <c r="C71" s="19" t="str">
        <f t="shared" ca="1" si="22"/>
        <v>+2</v>
      </c>
      <c r="D71" s="19">
        <f t="shared" ca="1" si="23"/>
        <v>0</v>
      </c>
      <c r="E71" s="19" t="str">
        <f t="shared" ca="1" si="24"/>
        <v>Nil</v>
      </c>
      <c r="F71" s="19" t="str">
        <f t="shared" ca="1" si="25"/>
        <v>Nil</v>
      </c>
      <c r="G71" s="19" t="str">
        <f ca="1">IF(AB71&lt;=VLOOKUP(D71,'power prob array'!$A:$M,2), VLOOKUP(Swords!BK71,Swords!$AS:$BB,10), "")</f>
        <v/>
      </c>
      <c r="H71" s="19" t="str">
        <f ca="1">IF(AC71&lt;=VLOOKUP(D71,'power prob array'!$A:$M,3), VLOOKUP(Swords!BL71,Swords!$AS:$BB,10), "")</f>
        <v/>
      </c>
      <c r="I71" s="19" t="str">
        <f ca="1">IF(AD71&lt;=VLOOKUP(D71,'power prob array'!$A:$M,4), VLOOKUP(Swords!BM71,Swords!$AS:$BB,10), "")</f>
        <v/>
      </c>
      <c r="J71" s="19" t="str">
        <f ca="1">IF(AE71&lt;=VLOOKUP(D71,'power prob array'!$A:$M,5), VLOOKUP(Swords!BN71,Swords!$AS:$BB,10), "")</f>
        <v/>
      </c>
      <c r="K71" s="19" t="str">
        <f ca="1">IF(AF71&lt;=VLOOKUP(D71,'power prob array'!$A:$M,6), VLOOKUP(Swords!BO71,Swords!$AS:$BB,10), "")</f>
        <v/>
      </c>
      <c r="L71" s="19" t="str">
        <f ca="1">IF(AG71&lt;=VLOOKUP(D71,'power prob array'!$A:$M,7), VLOOKUP(Swords!BP71,Swords!$AS:$BB,10), "")</f>
        <v/>
      </c>
      <c r="M71" s="19" t="str">
        <f t="shared" ca="1" si="26"/>
        <v>No</v>
      </c>
      <c r="N71" s="19" t="str">
        <f ca="1">IF(AI71&lt;=VLOOKUP(D71,'power prob array'!$A:$M,8), VLOOKUP(Swords!BQ71,Swords!$AS:$BC,11), "")</f>
        <v/>
      </c>
      <c r="O71" s="19" t="str">
        <f ca="1">IF(AJ71&lt;=VLOOKUP(D71,'power prob array'!$A:$M,9), VLOOKUP(Swords!BR71,Swords!$AS:$BC,11), "")</f>
        <v/>
      </c>
      <c r="P71" s="19" t="str">
        <f ca="1">IF(AK71&lt;=VLOOKUP(D71,'power prob array'!$A:$M,10), VLOOKUP(Swords!BS71,Swords!$AS:$BC,11), "")</f>
        <v/>
      </c>
      <c r="Q71" s="19" t="str">
        <f ca="1">IF(AL71&lt;=VLOOKUP(D71,'power prob array'!$A:$M,11), VLOOKUP(Swords!BT71,Swords!$AS:$BC,11), "")</f>
        <v/>
      </c>
      <c r="R71" s="19" t="str">
        <f ca="1">IF(AM71&lt;=VLOOKUP(D71,'power prob array'!$A:$M,12), VLOOKUP(Swords!BU71,Swords!$AS:$BC,11), "")</f>
        <v/>
      </c>
      <c r="S71" s="19" t="str">
        <f ca="1">IF(AN71&lt;=VLOOKUP(D71,'power prob array'!$A:$M,13), VLOOKUP(Swords!BV71,Swords!$AS:$BC,11), "")</f>
        <v/>
      </c>
      <c r="T71" s="18" t="str">
        <f t="shared" ca="1" si="31"/>
        <v>No</v>
      </c>
      <c r="U71" s="18" t="str" cm="1">
        <f t="array" aca="1" ref="U71" ca="1">_xlfn.IFS(T71="Talent", VLOOKUP(AP71,$AS:$BF,14), T71="No", "", 1=1, VLOOKUP(AP71,$AS:$BF,13))</f>
        <v/>
      </c>
      <c r="V71" s="1"/>
      <c r="W71" s="1"/>
      <c r="X71" s="1">
        <f t="shared" ca="1" si="30"/>
        <v>53</v>
      </c>
      <c r="Y71" s="1">
        <f t="shared" ca="1" si="30"/>
        <v>78</v>
      </c>
      <c r="Z71" s="1">
        <f t="shared" ca="1" si="30"/>
        <v>79</v>
      </c>
      <c r="AA71" s="1">
        <f t="shared" ca="1" si="30"/>
        <v>29</v>
      </c>
      <c r="AB71" s="1">
        <f t="shared" ca="1" si="30"/>
        <v>86</v>
      </c>
      <c r="AC71" s="1">
        <f t="shared" ca="1" si="30"/>
        <v>69</v>
      </c>
      <c r="AD71" s="1">
        <f t="shared" ca="1" si="30"/>
        <v>40</v>
      </c>
      <c r="AE71" s="1">
        <f t="shared" ca="1" si="30"/>
        <v>10</v>
      </c>
      <c r="AF71" s="1">
        <f t="shared" ca="1" si="30"/>
        <v>68</v>
      </c>
      <c r="AG71" s="1">
        <f t="shared" ca="1" si="30"/>
        <v>56</v>
      </c>
      <c r="AH71" s="1"/>
      <c r="AI71" s="1">
        <f t="shared" ca="1" si="30"/>
        <v>98</v>
      </c>
      <c r="AJ71" s="1">
        <f t="shared" ca="1" si="30"/>
        <v>12</v>
      </c>
      <c r="AK71" s="1">
        <f t="shared" ca="1" si="30"/>
        <v>14</v>
      </c>
      <c r="AL71" s="1">
        <f t="shared" ca="1" si="30"/>
        <v>100</v>
      </c>
      <c r="AM71" s="1">
        <f t="shared" ca="1" si="30"/>
        <v>25</v>
      </c>
      <c r="AN71" s="1">
        <f t="shared" ca="1" si="27"/>
        <v>100</v>
      </c>
      <c r="AO71" s="1">
        <f t="shared" ca="1" si="27"/>
        <v>90</v>
      </c>
      <c r="AP71" s="1">
        <f t="shared" ca="1" si="27"/>
        <v>64</v>
      </c>
      <c r="AQ71" s="1"/>
      <c r="AR71" s="1"/>
      <c r="AS71">
        <v>71</v>
      </c>
      <c r="AT71" t="s">
        <v>679</v>
      </c>
      <c r="AU71" s="9" t="s">
        <v>556</v>
      </c>
      <c r="AV71" s="9" t="s">
        <v>556</v>
      </c>
      <c r="AW71" s="9" t="s">
        <v>692</v>
      </c>
      <c r="AX71" s="9" t="s">
        <v>683</v>
      </c>
      <c r="AY71" s="16" t="s">
        <v>683</v>
      </c>
      <c r="AZ71" s="9" t="s">
        <v>692</v>
      </c>
      <c r="BA71" s="9" t="s">
        <v>695</v>
      </c>
      <c r="BB71" s="9" t="s">
        <v>701</v>
      </c>
      <c r="BC71" s="9" t="s">
        <v>715</v>
      </c>
      <c r="BD71" s="9" t="s">
        <v>558</v>
      </c>
      <c r="BE71" s="9" t="s">
        <v>645</v>
      </c>
      <c r="BF71" s="9" t="s">
        <v>621</v>
      </c>
      <c r="BK71" s="33">
        <f t="shared" ca="1" si="32"/>
        <v>27</v>
      </c>
      <c r="BL71" s="33">
        <f t="shared" ca="1" si="32"/>
        <v>39</v>
      </c>
      <c r="BM71" s="33">
        <f t="shared" ca="1" si="32"/>
        <v>61</v>
      </c>
      <c r="BN71" s="33">
        <f t="shared" ca="1" si="32"/>
        <v>78</v>
      </c>
      <c r="BO71" s="33">
        <f t="shared" ca="1" si="32"/>
        <v>66</v>
      </c>
      <c r="BP71" s="33">
        <f t="shared" ca="1" si="32"/>
        <v>24</v>
      </c>
      <c r="BQ71" s="33">
        <f t="shared" ca="1" si="32"/>
        <v>36</v>
      </c>
      <c r="BR71" s="33">
        <f t="shared" ca="1" si="32"/>
        <v>22</v>
      </c>
      <c r="BS71" s="33">
        <f t="shared" ca="1" si="32"/>
        <v>32</v>
      </c>
      <c r="BT71" s="33">
        <f t="shared" ca="1" si="32"/>
        <v>84</v>
      </c>
      <c r="BU71" s="33">
        <f t="shared" ca="1" si="32"/>
        <v>88</v>
      </c>
      <c r="BV71" s="33">
        <f t="shared" ca="1" si="32"/>
        <v>85</v>
      </c>
    </row>
    <row r="72" spans="1:76" s="33" customFormat="1" x14ac:dyDescent="0.3">
      <c r="A72" s="49">
        <v>71</v>
      </c>
      <c r="B72" s="18" t="str">
        <f t="shared" ca="1" si="21"/>
        <v>Normal</v>
      </c>
      <c r="C72" s="18" t="str">
        <f t="shared" ca="1" si="22"/>
        <v>+1</v>
      </c>
      <c r="D72" s="18">
        <f t="shared" ca="1" si="23"/>
        <v>9</v>
      </c>
      <c r="E72" s="18" t="str">
        <f t="shared" ca="1" si="24"/>
        <v>Empathy</v>
      </c>
      <c r="F72" s="18" t="str">
        <f t="shared" ca="1" si="25"/>
        <v>Nil</v>
      </c>
      <c r="G72" s="18" t="str">
        <f ca="1">IF(AB72&lt;=VLOOKUP(D72,'power prob array'!$A:$M,2), VLOOKUP(Swords!BK72,Swords!$AS:$BB,10), "")</f>
        <v>Find Secret Doors</v>
      </c>
      <c r="H72" s="18" t="str">
        <f ca="1">IF(AC72&lt;=VLOOKUP(D72,'power prob array'!$A:$M,3), VLOOKUP(Swords!BL72,Swords!$AS:$BB,10), "")</f>
        <v>Detect Shifting Walls and Rooms</v>
      </c>
      <c r="I72" s="18" t="str">
        <f ca="1">IF(AD72&lt;=VLOOKUP(D72,'power prob array'!$A:$M,4), VLOOKUP(Swords!BM72,Swords!$AS:$BB,10), "")</f>
        <v>Find Traps</v>
      </c>
      <c r="J72" s="18" t="str">
        <f ca="1">IF(AE72&lt;=VLOOKUP(D72,'power prob array'!$A:$M,5), VLOOKUP(Swords!BN72,Swords!$AS:$BB,10), "")</f>
        <v/>
      </c>
      <c r="K72" s="18" t="str">
        <f ca="1">IF(AF72&lt;=VLOOKUP(D72,'power prob array'!$A:$M,6), VLOOKUP(Swords!BO72,Swords!$AS:$BB,10), "")</f>
        <v/>
      </c>
      <c r="L72" s="18" t="str">
        <f ca="1">IF(AG72&lt;=VLOOKUP(D72,'power prob array'!$A:$M,7), VLOOKUP(Swords!BP72,Swords!$AS:$BB,10), "")</f>
        <v/>
      </c>
      <c r="M72" s="18" t="str">
        <f t="shared" ca="1" si="26"/>
        <v>No</v>
      </c>
      <c r="N72" s="18" t="str">
        <f ca="1">IF(AI72&lt;=VLOOKUP(D72,'power prob array'!$A:$M,8), VLOOKUP(Swords!BQ72,Swords!$AS:$BC,11), "")</f>
        <v/>
      </c>
      <c r="O72" s="18" t="str">
        <f ca="1">IF(AJ72&lt;=VLOOKUP(D72,'power prob array'!$A:$M,9), VLOOKUP(Swords!BR72,Swords!$AS:$BC,11), "")</f>
        <v/>
      </c>
      <c r="P72" s="18" t="str">
        <f ca="1">IF(AK72&lt;=VLOOKUP(D72,'power prob array'!$A:$M,10), VLOOKUP(Swords!BS72,Swords!$AS:$BC,11), "")</f>
        <v/>
      </c>
      <c r="Q72" s="18" t="str">
        <f ca="1">IF(AL72&lt;=VLOOKUP(D72,'power prob array'!$A:$M,11), VLOOKUP(Swords!BT72,Swords!$AS:$BC,11), "")</f>
        <v/>
      </c>
      <c r="R72" s="18" t="str">
        <f ca="1">IF(AM72&lt;=VLOOKUP(D72,'power prob array'!$A:$M,12), VLOOKUP(Swords!BU72,Swords!$AS:$BC,11), "")</f>
        <v/>
      </c>
      <c r="S72" s="18" t="str">
        <f ca="1">IF(AN72&lt;=VLOOKUP(D72,'power prob array'!$A:$M,13), VLOOKUP(Swords!BV72,Swords!$AS:$BC,11), "")</f>
        <v/>
      </c>
      <c r="T72" s="18" t="str">
        <f t="shared" ca="1" si="31"/>
        <v>No</v>
      </c>
      <c r="U72" s="18" t="str" cm="1">
        <f t="array" aca="1" ref="U72" ca="1">_xlfn.IFS(T72="Talent", VLOOKUP(AP72,$AS:$BF,14), T72="No", "", 1=1, VLOOKUP(AP72,$AS:$BF,13))</f>
        <v/>
      </c>
      <c r="V72" s="1"/>
      <c r="W72" s="1"/>
      <c r="X72" s="1">
        <f t="shared" ca="1" si="30"/>
        <v>41</v>
      </c>
      <c r="Y72" s="1">
        <f t="shared" ca="1" si="30"/>
        <v>27</v>
      </c>
      <c r="Z72" s="1">
        <f t="shared" ca="1" si="30"/>
        <v>83</v>
      </c>
      <c r="AA72" s="1">
        <f t="shared" ca="1" si="30"/>
        <v>93</v>
      </c>
      <c r="AB72" s="1">
        <f t="shared" ca="1" si="30"/>
        <v>65</v>
      </c>
      <c r="AC72" s="1">
        <f t="shared" ca="1" si="30"/>
        <v>21</v>
      </c>
      <c r="AD72" s="1">
        <f t="shared" ca="1" si="30"/>
        <v>44</v>
      </c>
      <c r="AE72" s="1">
        <f t="shared" ca="1" si="30"/>
        <v>26</v>
      </c>
      <c r="AF72" s="1">
        <f t="shared" ca="1" si="30"/>
        <v>61</v>
      </c>
      <c r="AG72" s="1">
        <f t="shared" ca="1" si="30"/>
        <v>38</v>
      </c>
      <c r="AH72" s="1"/>
      <c r="AI72" s="1">
        <f t="shared" ca="1" si="30"/>
        <v>76</v>
      </c>
      <c r="AJ72" s="1">
        <f t="shared" ca="1" si="30"/>
        <v>25</v>
      </c>
      <c r="AK72" s="1">
        <f t="shared" ca="1" si="30"/>
        <v>39</v>
      </c>
      <c r="AL72" s="1">
        <f t="shared" ca="1" si="30"/>
        <v>89</v>
      </c>
      <c r="AM72" s="1">
        <f t="shared" ca="1" si="30"/>
        <v>51</v>
      </c>
      <c r="AN72" s="1">
        <f t="shared" ca="1" si="27"/>
        <v>1</v>
      </c>
      <c r="AO72" s="1">
        <f t="shared" ca="1" si="27"/>
        <v>61</v>
      </c>
      <c r="AP72" s="1">
        <f t="shared" ca="1" si="27"/>
        <v>38</v>
      </c>
      <c r="AQ72" s="1"/>
      <c r="AR72" s="1"/>
      <c r="AS72" s="33">
        <v>72</v>
      </c>
      <c r="AT72" s="33" t="s">
        <v>679</v>
      </c>
      <c r="AU72" s="34" t="s">
        <v>556</v>
      </c>
      <c r="AV72" s="34" t="s">
        <v>556</v>
      </c>
      <c r="AW72" s="34" t="s">
        <v>692</v>
      </c>
      <c r="AX72" s="34" t="s">
        <v>683</v>
      </c>
      <c r="AY72" s="35" t="s">
        <v>683</v>
      </c>
      <c r="AZ72" s="34" t="s">
        <v>692</v>
      </c>
      <c r="BA72" s="34" t="s">
        <v>695</v>
      </c>
      <c r="BB72" s="34" t="s">
        <v>701</v>
      </c>
      <c r="BC72" s="34" t="s">
        <v>715</v>
      </c>
      <c r="BD72" s="34" t="s">
        <v>558</v>
      </c>
      <c r="BE72" s="34" t="s">
        <v>645</v>
      </c>
      <c r="BF72" s="34" t="s">
        <v>621</v>
      </c>
      <c r="BK72" s="33">
        <f t="shared" ca="1" si="32"/>
        <v>68</v>
      </c>
      <c r="BL72" s="33">
        <f t="shared" ca="1" si="32"/>
        <v>43</v>
      </c>
      <c r="BM72" s="33">
        <f t="shared" ca="1" si="32"/>
        <v>80</v>
      </c>
      <c r="BN72" s="33">
        <f t="shared" ca="1" si="32"/>
        <v>7</v>
      </c>
      <c r="BO72" s="33">
        <f t="shared" ca="1" si="32"/>
        <v>71</v>
      </c>
      <c r="BP72" s="33">
        <f t="shared" ca="1" si="32"/>
        <v>7</v>
      </c>
      <c r="BQ72" s="33">
        <f t="shared" ca="1" si="32"/>
        <v>56</v>
      </c>
      <c r="BR72" s="33">
        <f t="shared" ca="1" si="32"/>
        <v>1</v>
      </c>
      <c r="BS72" s="33">
        <f t="shared" ca="1" si="32"/>
        <v>26</v>
      </c>
      <c r="BT72" s="33">
        <f t="shared" ca="1" si="32"/>
        <v>16</v>
      </c>
      <c r="BU72" s="33">
        <f t="shared" ca="1" si="32"/>
        <v>4</v>
      </c>
      <c r="BV72" s="33">
        <f t="shared" ca="1" si="32"/>
        <v>87</v>
      </c>
      <c r="BX72" s="36"/>
    </row>
    <row r="73" spans="1:76" x14ac:dyDescent="0.3">
      <c r="A73" s="49">
        <v>72</v>
      </c>
      <c r="B73" s="19" t="str">
        <f t="shared" ca="1" si="21"/>
        <v>Normal</v>
      </c>
      <c r="C73" s="19" t="str">
        <f t="shared" ca="1" si="22"/>
        <v>+3</v>
      </c>
      <c r="D73" s="19">
        <f t="shared" ca="1" si="23"/>
        <v>0</v>
      </c>
      <c r="E73" s="19" t="str">
        <f t="shared" ca="1" si="24"/>
        <v>Nil</v>
      </c>
      <c r="F73" s="19" t="str">
        <f t="shared" ca="1" si="25"/>
        <v>Nil</v>
      </c>
      <c r="G73" s="19" t="str">
        <f ca="1">IF(AB73&lt;=VLOOKUP(D73,'power prob array'!$A:$M,2), VLOOKUP(Swords!BK73,Swords!$AS:$BB,10), "")</f>
        <v/>
      </c>
      <c r="H73" s="19" t="str">
        <f ca="1">IF(AC73&lt;=VLOOKUP(D73,'power prob array'!$A:$M,3), VLOOKUP(Swords!BL73,Swords!$AS:$BB,10), "")</f>
        <v/>
      </c>
      <c r="I73" s="19" t="str">
        <f ca="1">IF(AD73&lt;=VLOOKUP(D73,'power prob array'!$A:$M,4), VLOOKUP(Swords!BM73,Swords!$AS:$BB,10), "")</f>
        <v/>
      </c>
      <c r="J73" s="19" t="str">
        <f ca="1">IF(AE73&lt;=VLOOKUP(D73,'power prob array'!$A:$M,5), VLOOKUP(Swords!BN73,Swords!$AS:$BB,10), "")</f>
        <v/>
      </c>
      <c r="K73" s="19" t="str">
        <f ca="1">IF(AF73&lt;=VLOOKUP(D73,'power prob array'!$A:$M,6), VLOOKUP(Swords!BO73,Swords!$AS:$BB,10), "")</f>
        <v/>
      </c>
      <c r="L73" s="19" t="str">
        <f ca="1">IF(AG73&lt;=VLOOKUP(D73,'power prob array'!$A:$M,7), VLOOKUP(Swords!BP73,Swords!$AS:$BB,10), "")</f>
        <v/>
      </c>
      <c r="M73" s="19" t="str">
        <f t="shared" ca="1" si="26"/>
        <v>No</v>
      </c>
      <c r="N73" s="19" t="str">
        <f ca="1">IF(AI73&lt;=VLOOKUP(D73,'power prob array'!$A:$M,8), VLOOKUP(Swords!BQ73,Swords!$AS:$BC,11), "")</f>
        <v/>
      </c>
      <c r="O73" s="19" t="str">
        <f ca="1">IF(AJ73&lt;=VLOOKUP(D73,'power prob array'!$A:$M,9), VLOOKUP(Swords!BR73,Swords!$AS:$BC,11), "")</f>
        <v/>
      </c>
      <c r="P73" s="19" t="str">
        <f ca="1">IF(AK73&lt;=VLOOKUP(D73,'power prob array'!$A:$M,10), VLOOKUP(Swords!BS73,Swords!$AS:$BC,11), "")</f>
        <v/>
      </c>
      <c r="Q73" s="19" t="str">
        <f ca="1">IF(AL73&lt;=VLOOKUP(D73,'power prob array'!$A:$M,11), VLOOKUP(Swords!BT73,Swords!$AS:$BC,11), "")</f>
        <v/>
      </c>
      <c r="R73" s="19" t="str">
        <f ca="1">IF(AM73&lt;=VLOOKUP(D73,'power prob array'!$A:$M,12), VLOOKUP(Swords!BU73,Swords!$AS:$BC,11), "")</f>
        <v/>
      </c>
      <c r="S73" s="19" t="str">
        <f ca="1">IF(AN73&lt;=VLOOKUP(D73,'power prob array'!$A:$M,13), VLOOKUP(Swords!BV73,Swords!$AS:$BC,11), "")</f>
        <v/>
      </c>
      <c r="T73" s="18" t="str">
        <f t="shared" ca="1" si="31"/>
        <v>No</v>
      </c>
      <c r="U73" s="18" t="str" cm="1">
        <f t="array" aca="1" ref="U73" ca="1">_xlfn.IFS(T73="Talent", VLOOKUP(AP73,$AS:$BF,14), T73="No", "", 1=1, VLOOKUP(AP73,$AS:$BF,13))</f>
        <v/>
      </c>
      <c r="V73" s="1"/>
      <c r="W73" s="1"/>
      <c r="X73" s="1">
        <f t="shared" ca="1" si="30"/>
        <v>39</v>
      </c>
      <c r="Y73" s="1">
        <f t="shared" ca="1" si="30"/>
        <v>96</v>
      </c>
      <c r="Z73" s="1">
        <f t="shared" ca="1" si="30"/>
        <v>59</v>
      </c>
      <c r="AA73" s="1">
        <f t="shared" ca="1" si="30"/>
        <v>53</v>
      </c>
      <c r="AB73" s="1">
        <f t="shared" ca="1" si="30"/>
        <v>22</v>
      </c>
      <c r="AC73" s="1">
        <f t="shared" ca="1" si="30"/>
        <v>23</v>
      </c>
      <c r="AD73" s="1">
        <f t="shared" ca="1" si="30"/>
        <v>18</v>
      </c>
      <c r="AE73" s="1">
        <f t="shared" ca="1" si="30"/>
        <v>94</v>
      </c>
      <c r="AF73" s="1">
        <f t="shared" ca="1" si="30"/>
        <v>8</v>
      </c>
      <c r="AG73" s="1">
        <f t="shared" ca="1" si="30"/>
        <v>84</v>
      </c>
      <c r="AH73" s="1"/>
      <c r="AI73" s="1">
        <f t="shared" ca="1" si="30"/>
        <v>37</v>
      </c>
      <c r="AJ73" s="1">
        <f t="shared" ca="1" si="30"/>
        <v>52</v>
      </c>
      <c r="AK73" s="1">
        <f t="shared" ca="1" si="30"/>
        <v>17</v>
      </c>
      <c r="AL73" s="1">
        <f t="shared" ca="1" si="30"/>
        <v>3</v>
      </c>
      <c r="AM73" s="1">
        <f t="shared" ca="1" si="30"/>
        <v>9</v>
      </c>
      <c r="AN73" s="1">
        <f t="shared" ca="1" si="27"/>
        <v>80</v>
      </c>
      <c r="AO73" s="1">
        <f t="shared" ca="1" si="27"/>
        <v>26</v>
      </c>
      <c r="AP73" s="1">
        <f t="shared" ca="1" si="27"/>
        <v>93</v>
      </c>
      <c r="AQ73" s="1"/>
      <c r="AR73" s="1"/>
      <c r="AS73">
        <v>73</v>
      </c>
      <c r="AT73" t="s">
        <v>679</v>
      </c>
      <c r="AU73" s="9" t="s">
        <v>556</v>
      </c>
      <c r="AV73" s="9" t="s">
        <v>556</v>
      </c>
      <c r="AW73" s="9" t="s">
        <v>692</v>
      </c>
      <c r="AX73" s="9" t="s">
        <v>683</v>
      </c>
      <c r="AY73" s="16" t="s">
        <v>683</v>
      </c>
      <c r="AZ73" s="9" t="s">
        <v>692</v>
      </c>
      <c r="BA73" s="9" t="s">
        <v>695</v>
      </c>
      <c r="BB73" s="9" t="s">
        <v>701</v>
      </c>
      <c r="BC73" s="9" t="s">
        <v>715</v>
      </c>
      <c r="BD73" s="9" t="s">
        <v>559</v>
      </c>
      <c r="BE73" s="9" t="s">
        <v>645</v>
      </c>
      <c r="BF73" s="9" t="s">
        <v>621</v>
      </c>
      <c r="BK73" s="33">
        <f t="shared" ca="1" si="32"/>
        <v>13</v>
      </c>
      <c r="BL73" s="33">
        <f t="shared" ca="1" si="32"/>
        <v>6</v>
      </c>
      <c r="BM73" s="33">
        <f t="shared" ca="1" si="32"/>
        <v>65</v>
      </c>
      <c r="BN73" s="33">
        <f t="shared" ca="1" si="32"/>
        <v>7</v>
      </c>
      <c r="BO73" s="33">
        <f t="shared" ca="1" si="32"/>
        <v>69</v>
      </c>
      <c r="BP73" s="33">
        <f t="shared" ca="1" si="32"/>
        <v>33</v>
      </c>
      <c r="BQ73" s="33">
        <f t="shared" ca="1" si="32"/>
        <v>2</v>
      </c>
      <c r="BR73" s="33">
        <f t="shared" ca="1" si="32"/>
        <v>40</v>
      </c>
      <c r="BS73" s="33">
        <f t="shared" ca="1" si="32"/>
        <v>96</v>
      </c>
      <c r="BT73" s="33">
        <f t="shared" ca="1" si="32"/>
        <v>23</v>
      </c>
      <c r="BU73" s="33">
        <f t="shared" ca="1" si="32"/>
        <v>53</v>
      </c>
      <c r="BV73" s="33">
        <f t="shared" ca="1" si="32"/>
        <v>69</v>
      </c>
    </row>
    <row r="74" spans="1:76" s="33" customFormat="1" x14ac:dyDescent="0.3">
      <c r="A74" s="49">
        <v>73</v>
      </c>
      <c r="B74" s="18" t="str">
        <f t="shared" ca="1" si="21"/>
        <v>Two-handed</v>
      </c>
      <c r="C74" s="18" t="str">
        <f t="shared" ca="1" si="22"/>
        <v>+1</v>
      </c>
      <c r="D74" s="18">
        <f t="shared" ca="1" si="23"/>
        <v>0</v>
      </c>
      <c r="E74" s="18" t="str">
        <f t="shared" ca="1" si="24"/>
        <v>Nil</v>
      </c>
      <c r="F74" s="18" t="str">
        <f t="shared" ca="1" si="25"/>
        <v>Nil</v>
      </c>
      <c r="G74" s="18" t="str">
        <f ca="1">IF(AB74&lt;=VLOOKUP(D74,'power prob array'!$A:$M,2), VLOOKUP(Swords!BK74,Swords!$AS:$BB,10), "")</f>
        <v/>
      </c>
      <c r="H74" s="18" t="str">
        <f ca="1">IF(AC74&lt;=VLOOKUP(D74,'power prob array'!$A:$M,3), VLOOKUP(Swords!BL74,Swords!$AS:$BB,10), "")</f>
        <v/>
      </c>
      <c r="I74" s="18" t="str">
        <f ca="1">IF(AD74&lt;=VLOOKUP(D74,'power prob array'!$A:$M,4), VLOOKUP(Swords!BM74,Swords!$AS:$BB,10), "")</f>
        <v/>
      </c>
      <c r="J74" s="18" t="str">
        <f ca="1">IF(AE74&lt;=VLOOKUP(D74,'power prob array'!$A:$M,5), VLOOKUP(Swords!BN74,Swords!$AS:$BB,10), "")</f>
        <v/>
      </c>
      <c r="K74" s="18" t="str">
        <f ca="1">IF(AF74&lt;=VLOOKUP(D74,'power prob array'!$A:$M,6), VLOOKUP(Swords!BO74,Swords!$AS:$BB,10), "")</f>
        <v/>
      </c>
      <c r="L74" s="18" t="str">
        <f ca="1">IF(AG74&lt;=VLOOKUP(D74,'power prob array'!$A:$M,7), VLOOKUP(Swords!BP74,Swords!$AS:$BB,10), "")</f>
        <v/>
      </c>
      <c r="M74" s="18" t="str">
        <f t="shared" ca="1" si="26"/>
        <v>No</v>
      </c>
      <c r="N74" s="18" t="str">
        <f ca="1">IF(AI74&lt;=VLOOKUP(D74,'power prob array'!$A:$M,8), VLOOKUP(Swords!BQ74,Swords!$AS:$BC,11), "")</f>
        <v/>
      </c>
      <c r="O74" s="18" t="str">
        <f ca="1">IF(AJ74&lt;=VLOOKUP(D74,'power prob array'!$A:$M,9), VLOOKUP(Swords!BR74,Swords!$AS:$BC,11), "")</f>
        <v/>
      </c>
      <c r="P74" s="18" t="str">
        <f ca="1">IF(AK74&lt;=VLOOKUP(D74,'power prob array'!$A:$M,10), VLOOKUP(Swords!BS74,Swords!$AS:$BC,11), "")</f>
        <v/>
      </c>
      <c r="Q74" s="18" t="str">
        <f ca="1">IF(AL74&lt;=VLOOKUP(D74,'power prob array'!$A:$M,11), VLOOKUP(Swords!BT74,Swords!$AS:$BC,11), "")</f>
        <v/>
      </c>
      <c r="R74" s="18" t="str">
        <f ca="1">IF(AM74&lt;=VLOOKUP(D74,'power prob array'!$A:$M,12), VLOOKUP(Swords!BU74,Swords!$AS:$BC,11), "")</f>
        <v/>
      </c>
      <c r="S74" s="18" t="str">
        <f ca="1">IF(AN74&lt;=VLOOKUP(D74,'power prob array'!$A:$M,13), VLOOKUP(Swords!BV74,Swords!$AS:$BC,11), "")</f>
        <v/>
      </c>
      <c r="T74" s="18" t="str">
        <f t="shared" ca="1" si="31"/>
        <v>Talent</v>
      </c>
      <c r="U74" s="18" t="str" cm="1">
        <f t="array" aca="1" ref="U74" ca="1">_xlfn.IFS(T74="Talent", VLOOKUP(AP74,$AS:$BF,14), T74="No", "", 1=1, VLOOKUP(AP74,$AS:$BF,13))</f>
        <v>Watching</v>
      </c>
      <c r="V74" s="1"/>
      <c r="W74" s="1"/>
      <c r="X74" s="1">
        <f t="shared" ca="1" si="30"/>
        <v>87</v>
      </c>
      <c r="Y74" s="1">
        <f t="shared" ca="1" si="30"/>
        <v>62</v>
      </c>
      <c r="Z74" s="1">
        <f t="shared" ca="1" si="30"/>
        <v>73</v>
      </c>
      <c r="AA74" s="1">
        <f t="shared" ca="1" si="30"/>
        <v>55</v>
      </c>
      <c r="AB74" s="1">
        <f t="shared" ca="1" si="30"/>
        <v>5</v>
      </c>
      <c r="AC74" s="1">
        <f t="shared" ca="1" si="30"/>
        <v>60</v>
      </c>
      <c r="AD74" s="1">
        <f t="shared" ca="1" si="30"/>
        <v>84</v>
      </c>
      <c r="AE74" s="1">
        <f t="shared" ca="1" si="30"/>
        <v>17</v>
      </c>
      <c r="AF74" s="1">
        <f t="shared" ca="1" si="30"/>
        <v>31</v>
      </c>
      <c r="AG74" s="1">
        <f t="shared" ca="1" si="30"/>
        <v>23</v>
      </c>
      <c r="AH74" s="1"/>
      <c r="AI74" s="1">
        <f t="shared" ca="1" si="30"/>
        <v>79</v>
      </c>
      <c r="AJ74" s="1">
        <f t="shared" ca="1" si="30"/>
        <v>97</v>
      </c>
      <c r="AK74" s="1">
        <f t="shared" ca="1" si="30"/>
        <v>2</v>
      </c>
      <c r="AL74" s="1">
        <f t="shared" ca="1" si="30"/>
        <v>10</v>
      </c>
      <c r="AM74" s="1">
        <f t="shared" ca="1" si="30"/>
        <v>58</v>
      </c>
      <c r="AN74" s="1">
        <f t="shared" ca="1" si="27"/>
        <v>71</v>
      </c>
      <c r="AO74" s="1">
        <f t="shared" ca="1" si="27"/>
        <v>29</v>
      </c>
      <c r="AP74" s="1">
        <f t="shared" ca="1" si="27"/>
        <v>95</v>
      </c>
      <c r="AQ74" s="1"/>
      <c r="AR74" s="1"/>
      <c r="AS74" s="33">
        <v>74</v>
      </c>
      <c r="AT74" s="33" t="s">
        <v>679</v>
      </c>
      <c r="AU74" s="34" t="s">
        <v>556</v>
      </c>
      <c r="AV74" s="34" t="s">
        <v>556</v>
      </c>
      <c r="AW74" s="34" t="s">
        <v>692</v>
      </c>
      <c r="AX74" s="34" t="s">
        <v>683</v>
      </c>
      <c r="AY74" s="35" t="s">
        <v>683</v>
      </c>
      <c r="AZ74" s="34" t="s">
        <v>692</v>
      </c>
      <c r="BA74" s="34" t="s">
        <v>695</v>
      </c>
      <c r="BB74" s="34" t="s">
        <v>701</v>
      </c>
      <c r="BC74" s="34" t="s">
        <v>715</v>
      </c>
      <c r="BD74" s="34" t="s">
        <v>559</v>
      </c>
      <c r="BE74" s="34" t="s">
        <v>645</v>
      </c>
      <c r="BF74" s="34" t="s">
        <v>660</v>
      </c>
      <c r="BK74" s="33">
        <f t="shared" ca="1" si="32"/>
        <v>4</v>
      </c>
      <c r="BL74" s="33">
        <f t="shared" ca="1" si="32"/>
        <v>49</v>
      </c>
      <c r="BM74" s="33">
        <f t="shared" ca="1" si="32"/>
        <v>71</v>
      </c>
      <c r="BN74" s="33">
        <f t="shared" ca="1" si="32"/>
        <v>42</v>
      </c>
      <c r="BO74" s="33">
        <f t="shared" ca="1" si="32"/>
        <v>28</v>
      </c>
      <c r="BP74" s="33">
        <f t="shared" ca="1" si="32"/>
        <v>26</v>
      </c>
      <c r="BQ74" s="33">
        <f t="shared" ca="1" si="32"/>
        <v>61</v>
      </c>
      <c r="BR74" s="33">
        <f t="shared" ca="1" si="32"/>
        <v>81</v>
      </c>
      <c r="BS74" s="33">
        <f t="shared" ca="1" si="32"/>
        <v>29</v>
      </c>
      <c r="BT74" s="33">
        <f t="shared" ca="1" si="32"/>
        <v>3</v>
      </c>
      <c r="BU74" s="33">
        <f t="shared" ca="1" si="32"/>
        <v>92</v>
      </c>
      <c r="BV74" s="33">
        <f t="shared" ca="1" si="32"/>
        <v>10</v>
      </c>
      <c r="BX74" s="36"/>
    </row>
    <row r="75" spans="1:76" x14ac:dyDescent="0.3">
      <c r="A75" s="49">
        <v>74</v>
      </c>
      <c r="B75" s="19" t="str">
        <f t="shared" ca="1" si="21"/>
        <v>Normal</v>
      </c>
      <c r="C75" s="19" t="str">
        <f t="shared" ca="1" si="22"/>
        <v>+1</v>
      </c>
      <c r="D75" s="19">
        <f t="shared" ca="1" si="23"/>
        <v>0</v>
      </c>
      <c r="E75" s="19" t="str">
        <f t="shared" ca="1" si="24"/>
        <v>Nil</v>
      </c>
      <c r="F75" s="19" t="str">
        <f t="shared" ca="1" si="25"/>
        <v>Nil</v>
      </c>
      <c r="G75" s="19" t="str">
        <f ca="1">IF(AB75&lt;=VLOOKUP(D75,'power prob array'!$A:$M,2), VLOOKUP(Swords!BK75,Swords!$AS:$BB,10), "")</f>
        <v/>
      </c>
      <c r="H75" s="19" t="str">
        <f ca="1">IF(AC75&lt;=VLOOKUP(D75,'power prob array'!$A:$M,3), VLOOKUP(Swords!BL75,Swords!$AS:$BB,10), "")</f>
        <v/>
      </c>
      <c r="I75" s="19" t="str">
        <f ca="1">IF(AD75&lt;=VLOOKUP(D75,'power prob array'!$A:$M,4), VLOOKUP(Swords!BM75,Swords!$AS:$BB,10), "")</f>
        <v/>
      </c>
      <c r="J75" s="19" t="str">
        <f ca="1">IF(AE75&lt;=VLOOKUP(D75,'power prob array'!$A:$M,5), VLOOKUP(Swords!BN75,Swords!$AS:$BB,10), "")</f>
        <v/>
      </c>
      <c r="K75" s="19" t="str">
        <f ca="1">IF(AF75&lt;=VLOOKUP(D75,'power prob array'!$A:$M,6), VLOOKUP(Swords!BO75,Swords!$AS:$BB,10), "")</f>
        <v/>
      </c>
      <c r="L75" s="19" t="str">
        <f ca="1">IF(AG75&lt;=VLOOKUP(D75,'power prob array'!$A:$M,7), VLOOKUP(Swords!BP75,Swords!$AS:$BB,10), "")</f>
        <v/>
      </c>
      <c r="M75" s="19" t="str">
        <f t="shared" ca="1" si="26"/>
        <v>No</v>
      </c>
      <c r="N75" s="19" t="str">
        <f ca="1">IF(AI75&lt;=VLOOKUP(D75,'power prob array'!$A:$M,8), VLOOKUP(Swords!BQ75,Swords!$AS:$BC,11), "")</f>
        <v/>
      </c>
      <c r="O75" s="19" t="str">
        <f ca="1">IF(AJ75&lt;=VLOOKUP(D75,'power prob array'!$A:$M,9), VLOOKUP(Swords!BR75,Swords!$AS:$BC,11), "")</f>
        <v/>
      </c>
      <c r="P75" s="19" t="str">
        <f ca="1">IF(AK75&lt;=VLOOKUP(D75,'power prob array'!$A:$M,10), VLOOKUP(Swords!BS75,Swords!$AS:$BC,11), "")</f>
        <v/>
      </c>
      <c r="Q75" s="19" t="str">
        <f ca="1">IF(AL75&lt;=VLOOKUP(D75,'power prob array'!$A:$M,11), VLOOKUP(Swords!BT75,Swords!$AS:$BC,11), "")</f>
        <v/>
      </c>
      <c r="R75" s="19" t="str">
        <f ca="1">IF(AM75&lt;=VLOOKUP(D75,'power prob array'!$A:$M,12), VLOOKUP(Swords!BU75,Swords!$AS:$BC,11), "")</f>
        <v/>
      </c>
      <c r="S75" s="19" t="str">
        <f ca="1">IF(AN75&lt;=VLOOKUP(D75,'power prob array'!$A:$M,13), VLOOKUP(Swords!BV75,Swords!$AS:$BC,11), "")</f>
        <v/>
      </c>
      <c r="T75" s="18" t="str">
        <f t="shared" ca="1" si="31"/>
        <v>+3</v>
      </c>
      <c r="U75" s="18" t="str" cm="1">
        <f t="array" aca="1" ref="U75" ca="1">_xlfn.IFS(T75="Talent", VLOOKUP(AP75,$AS:$BF,14), T75="No", "", 1=1, VLOOKUP(AP75,$AS:$BF,13))</f>
        <v>Reptiles and Dinosaurs</v>
      </c>
      <c r="V75" s="1"/>
      <c r="W75" s="1"/>
      <c r="X75" s="1">
        <f t="shared" ca="1" si="30"/>
        <v>61</v>
      </c>
      <c r="Y75" s="1">
        <f t="shared" ca="1" si="30"/>
        <v>1</v>
      </c>
      <c r="Z75" s="1">
        <f t="shared" ca="1" si="30"/>
        <v>68</v>
      </c>
      <c r="AA75" s="1">
        <f t="shared" ca="1" si="30"/>
        <v>33</v>
      </c>
      <c r="AB75" s="1">
        <f t="shared" ca="1" si="30"/>
        <v>32</v>
      </c>
      <c r="AC75" s="1">
        <f t="shared" ca="1" si="30"/>
        <v>32</v>
      </c>
      <c r="AD75" s="1">
        <f t="shared" ca="1" si="30"/>
        <v>40</v>
      </c>
      <c r="AE75" s="1">
        <f t="shared" ca="1" si="30"/>
        <v>36</v>
      </c>
      <c r="AF75" s="1">
        <f t="shared" ca="1" si="30"/>
        <v>64</v>
      </c>
      <c r="AG75" s="1">
        <f t="shared" ca="1" si="30"/>
        <v>24</v>
      </c>
      <c r="AH75" s="1"/>
      <c r="AI75" s="1">
        <f t="shared" ca="1" si="30"/>
        <v>32</v>
      </c>
      <c r="AJ75" s="1">
        <f t="shared" ca="1" si="30"/>
        <v>71</v>
      </c>
      <c r="AK75" s="1">
        <f t="shared" ca="1" si="30"/>
        <v>30</v>
      </c>
      <c r="AL75" s="1">
        <f t="shared" ca="1" si="30"/>
        <v>67</v>
      </c>
      <c r="AM75" s="1">
        <f t="shared" ca="1" si="30"/>
        <v>7</v>
      </c>
      <c r="AN75" s="1">
        <f t="shared" ca="1" si="27"/>
        <v>93</v>
      </c>
      <c r="AO75" s="1">
        <f t="shared" ca="1" si="27"/>
        <v>18</v>
      </c>
      <c r="AP75" s="1">
        <f t="shared" ca="1" si="27"/>
        <v>61</v>
      </c>
      <c r="AQ75" s="1"/>
      <c r="AR75" s="1"/>
      <c r="AS75">
        <v>75</v>
      </c>
      <c r="AT75" t="s">
        <v>679</v>
      </c>
      <c r="AU75" s="9" t="s">
        <v>556</v>
      </c>
      <c r="AV75" s="9" t="s">
        <v>556</v>
      </c>
      <c r="AW75" s="9" t="s">
        <v>692</v>
      </c>
      <c r="AX75" s="9" t="s">
        <v>683</v>
      </c>
      <c r="AY75" s="16" t="s">
        <v>683</v>
      </c>
      <c r="AZ75" s="9" t="s">
        <v>692</v>
      </c>
      <c r="BA75" s="9" t="s">
        <v>695</v>
      </c>
      <c r="BB75" s="9" t="s">
        <v>701</v>
      </c>
      <c r="BC75" s="9" t="s">
        <v>715</v>
      </c>
      <c r="BD75" s="9" t="s">
        <v>559</v>
      </c>
      <c r="BE75" s="9" t="s">
        <v>645</v>
      </c>
      <c r="BF75" s="9" t="s">
        <v>660</v>
      </c>
      <c r="BK75" s="33">
        <f t="shared" ca="1" si="32"/>
        <v>98</v>
      </c>
      <c r="BL75" s="33">
        <f t="shared" ca="1" si="32"/>
        <v>78</v>
      </c>
      <c r="BM75" s="33">
        <f t="shared" ca="1" si="32"/>
        <v>20</v>
      </c>
      <c r="BN75" s="33">
        <f t="shared" ca="1" si="32"/>
        <v>7</v>
      </c>
      <c r="BO75" s="33">
        <f t="shared" ca="1" si="32"/>
        <v>55</v>
      </c>
      <c r="BP75" s="33">
        <f t="shared" ca="1" si="32"/>
        <v>48</v>
      </c>
      <c r="BQ75" s="33">
        <f t="shared" ca="1" si="32"/>
        <v>3</v>
      </c>
      <c r="BR75" s="33">
        <f t="shared" ca="1" si="32"/>
        <v>15</v>
      </c>
      <c r="BS75" s="33">
        <f t="shared" ca="1" si="32"/>
        <v>39</v>
      </c>
      <c r="BT75" s="33">
        <f t="shared" ca="1" si="32"/>
        <v>29</v>
      </c>
      <c r="BU75" s="33">
        <f t="shared" ca="1" si="32"/>
        <v>21</v>
      </c>
      <c r="BV75" s="33">
        <f t="shared" ca="1" si="32"/>
        <v>21</v>
      </c>
    </row>
    <row r="76" spans="1:76" s="33" customFormat="1" x14ac:dyDescent="0.3">
      <c r="A76" s="49">
        <v>75</v>
      </c>
      <c r="B76" s="18" t="str">
        <f t="shared" ca="1" si="21"/>
        <v>Normal</v>
      </c>
      <c r="C76" s="18" t="str">
        <f t="shared" ca="1" si="22"/>
        <v>+1</v>
      </c>
      <c r="D76" s="18">
        <f t="shared" ca="1" si="23"/>
        <v>0</v>
      </c>
      <c r="E76" s="18" t="str">
        <f t="shared" ca="1" si="24"/>
        <v>Nil</v>
      </c>
      <c r="F76" s="18" t="str">
        <f t="shared" ca="1" si="25"/>
        <v>Nil</v>
      </c>
      <c r="G76" s="18" t="str">
        <f ca="1">IF(AB76&lt;=VLOOKUP(D76,'power prob array'!$A:$M,2), VLOOKUP(Swords!BK76,Swords!$AS:$BB,10), "")</f>
        <v/>
      </c>
      <c r="H76" s="18" t="str">
        <f ca="1">IF(AC76&lt;=VLOOKUP(D76,'power prob array'!$A:$M,3), VLOOKUP(Swords!BL76,Swords!$AS:$BB,10), "")</f>
        <v/>
      </c>
      <c r="I76" s="18" t="str">
        <f ca="1">IF(AD76&lt;=VLOOKUP(D76,'power prob array'!$A:$M,4), VLOOKUP(Swords!BM76,Swords!$AS:$BB,10), "")</f>
        <v/>
      </c>
      <c r="J76" s="18" t="str">
        <f ca="1">IF(AE76&lt;=VLOOKUP(D76,'power prob array'!$A:$M,5), VLOOKUP(Swords!BN76,Swords!$AS:$BB,10), "")</f>
        <v/>
      </c>
      <c r="K76" s="18" t="str">
        <f ca="1">IF(AF76&lt;=VLOOKUP(D76,'power prob array'!$A:$M,6), VLOOKUP(Swords!BO76,Swords!$AS:$BB,10), "")</f>
        <v/>
      </c>
      <c r="L76" s="18" t="str">
        <f ca="1">IF(AG76&lt;=VLOOKUP(D76,'power prob array'!$A:$M,7), VLOOKUP(Swords!BP76,Swords!$AS:$BB,10), "")</f>
        <v/>
      </c>
      <c r="M76" s="18" t="str">
        <f t="shared" ca="1" si="26"/>
        <v>No</v>
      </c>
      <c r="N76" s="18" t="str">
        <f ca="1">IF(AI76&lt;=VLOOKUP(D76,'power prob array'!$A:$M,8), VLOOKUP(Swords!BQ76,Swords!$AS:$BC,11), "")</f>
        <v/>
      </c>
      <c r="O76" s="18" t="str">
        <f ca="1">IF(AJ76&lt;=VLOOKUP(D76,'power prob array'!$A:$M,9), VLOOKUP(Swords!BR76,Swords!$AS:$BC,11), "")</f>
        <v/>
      </c>
      <c r="P76" s="18" t="str">
        <f ca="1">IF(AK76&lt;=VLOOKUP(D76,'power prob array'!$A:$M,10), VLOOKUP(Swords!BS76,Swords!$AS:$BC,11), "")</f>
        <v/>
      </c>
      <c r="Q76" s="18" t="str">
        <f ca="1">IF(AL76&lt;=VLOOKUP(D76,'power prob array'!$A:$M,11), VLOOKUP(Swords!BT76,Swords!$AS:$BC,11), "")</f>
        <v/>
      </c>
      <c r="R76" s="18" t="str">
        <f ca="1">IF(AM76&lt;=VLOOKUP(D76,'power prob array'!$A:$M,12), VLOOKUP(Swords!BU76,Swords!$AS:$BC,11), "")</f>
        <v/>
      </c>
      <c r="S76" s="18" t="str">
        <f ca="1">IF(AN76&lt;=VLOOKUP(D76,'power prob array'!$A:$M,13), VLOOKUP(Swords!BV76,Swords!$AS:$BC,11), "")</f>
        <v/>
      </c>
      <c r="T76" s="18" t="str">
        <f t="shared" ca="1" si="31"/>
        <v>No</v>
      </c>
      <c r="U76" s="18" t="str" cm="1">
        <f t="array" aca="1" ref="U76" ca="1">_xlfn.IFS(T76="Talent", VLOOKUP(AP76,$AS:$BF,14), T76="No", "", 1=1, VLOOKUP(AP76,$AS:$BF,13))</f>
        <v/>
      </c>
      <c r="V76" s="1"/>
      <c r="W76" s="1"/>
      <c r="X76" s="1">
        <f t="shared" ca="1" si="30"/>
        <v>44</v>
      </c>
      <c r="Y76" s="1">
        <f t="shared" ca="1" si="30"/>
        <v>10</v>
      </c>
      <c r="Z76" s="1">
        <f t="shared" ca="1" si="30"/>
        <v>8</v>
      </c>
      <c r="AA76" s="1">
        <f t="shared" ca="1" si="30"/>
        <v>31</v>
      </c>
      <c r="AB76" s="1">
        <f t="shared" ca="1" si="30"/>
        <v>46</v>
      </c>
      <c r="AC76" s="1">
        <f t="shared" ca="1" si="30"/>
        <v>71</v>
      </c>
      <c r="AD76" s="1">
        <f t="shared" ca="1" si="30"/>
        <v>35</v>
      </c>
      <c r="AE76" s="1">
        <f t="shared" ca="1" si="30"/>
        <v>4</v>
      </c>
      <c r="AF76" s="1">
        <f t="shared" ca="1" si="30"/>
        <v>71</v>
      </c>
      <c r="AG76" s="1">
        <f t="shared" ca="1" si="30"/>
        <v>84</v>
      </c>
      <c r="AH76" s="1"/>
      <c r="AI76" s="1">
        <f t="shared" ca="1" si="30"/>
        <v>81</v>
      </c>
      <c r="AJ76" s="1">
        <f t="shared" ca="1" si="30"/>
        <v>53</v>
      </c>
      <c r="AK76" s="1">
        <f t="shared" ca="1" si="30"/>
        <v>78</v>
      </c>
      <c r="AL76" s="1">
        <f t="shared" ca="1" si="30"/>
        <v>78</v>
      </c>
      <c r="AM76" s="1">
        <f t="shared" ca="1" si="30"/>
        <v>3</v>
      </c>
      <c r="AN76" s="1">
        <f t="shared" ca="1" si="27"/>
        <v>70</v>
      </c>
      <c r="AO76" s="1">
        <f t="shared" ca="1" si="27"/>
        <v>49</v>
      </c>
      <c r="AP76" s="1">
        <f t="shared" ca="1" si="27"/>
        <v>32</v>
      </c>
      <c r="AQ76" s="1"/>
      <c r="AR76" s="1"/>
      <c r="AS76" s="33">
        <v>76</v>
      </c>
      <c r="AT76" s="33" t="s">
        <v>679</v>
      </c>
      <c r="AU76" s="34" t="s">
        <v>556</v>
      </c>
      <c r="AV76" s="34" t="s">
        <v>556</v>
      </c>
      <c r="AW76" s="34" t="s">
        <v>692</v>
      </c>
      <c r="AX76" s="34" t="s">
        <v>683</v>
      </c>
      <c r="AY76" s="35" t="s">
        <v>683</v>
      </c>
      <c r="AZ76" s="34" t="s">
        <v>692</v>
      </c>
      <c r="BA76" s="34" t="s">
        <v>695</v>
      </c>
      <c r="BB76" s="34" t="s">
        <v>463</v>
      </c>
      <c r="BC76" s="34" t="s">
        <v>715</v>
      </c>
      <c r="BD76" s="34" t="s">
        <v>593</v>
      </c>
      <c r="BE76" s="34" t="s">
        <v>645</v>
      </c>
      <c r="BF76" s="34" t="s">
        <v>660</v>
      </c>
      <c r="BK76" s="33">
        <f t="shared" ca="1" si="32"/>
        <v>14</v>
      </c>
      <c r="BL76" s="33">
        <f t="shared" ca="1" si="32"/>
        <v>20</v>
      </c>
      <c r="BM76" s="33">
        <f t="shared" ca="1" si="32"/>
        <v>47</v>
      </c>
      <c r="BN76" s="33">
        <f t="shared" ca="1" si="32"/>
        <v>23</v>
      </c>
      <c r="BO76" s="33">
        <f t="shared" ca="1" si="32"/>
        <v>18</v>
      </c>
      <c r="BP76" s="33">
        <f t="shared" ca="1" si="32"/>
        <v>22</v>
      </c>
      <c r="BQ76" s="33">
        <f t="shared" ca="1" si="32"/>
        <v>60</v>
      </c>
      <c r="BR76" s="33">
        <f t="shared" ca="1" si="32"/>
        <v>100</v>
      </c>
      <c r="BS76" s="33">
        <f t="shared" ca="1" si="32"/>
        <v>8</v>
      </c>
      <c r="BT76" s="33">
        <f t="shared" ca="1" si="32"/>
        <v>70</v>
      </c>
      <c r="BU76" s="33">
        <f t="shared" ca="1" si="32"/>
        <v>33</v>
      </c>
      <c r="BV76" s="33">
        <f t="shared" ca="1" si="32"/>
        <v>56</v>
      </c>
      <c r="BX76" s="36"/>
    </row>
    <row r="77" spans="1:76" x14ac:dyDescent="0.3">
      <c r="A77" s="49">
        <v>76</v>
      </c>
      <c r="B77" s="19" t="str">
        <f t="shared" ca="1" si="21"/>
        <v>Normal</v>
      </c>
      <c r="C77" s="19" t="str">
        <f t="shared" ca="1" si="22"/>
        <v>+1</v>
      </c>
      <c r="D77" s="19">
        <f t="shared" ca="1" si="23"/>
        <v>7</v>
      </c>
      <c r="E77" s="19" t="str">
        <f t="shared" ca="1" si="24"/>
        <v>Empathy</v>
      </c>
      <c r="F77" s="19" t="str">
        <f t="shared" ca="1" si="25"/>
        <v>Nil</v>
      </c>
      <c r="G77" s="19" t="str">
        <f ca="1">IF(AB77&lt;=VLOOKUP(D77,'power prob array'!$A:$M,2), VLOOKUP(Swords!BK77,Swords!$AS:$BB,10), "")</f>
        <v>Detect Shifting Walls and Rooms</v>
      </c>
      <c r="H77" s="19" t="str">
        <f ca="1">IF(AC77&lt;=VLOOKUP(D77,'power prob array'!$A:$M,3), VLOOKUP(Swords!BL77,Swords!$AS:$BB,10), "")</f>
        <v/>
      </c>
      <c r="I77" s="19" t="str">
        <f ca="1">IF(AD77&lt;=VLOOKUP(D77,'power prob array'!$A:$M,4), VLOOKUP(Swords!BM77,Swords!$AS:$BB,10), "")</f>
        <v/>
      </c>
      <c r="J77" s="19" t="str">
        <f ca="1">IF(AE77&lt;=VLOOKUP(D77,'power prob array'!$A:$M,5), VLOOKUP(Swords!BN77,Swords!$AS:$BB,10), "")</f>
        <v/>
      </c>
      <c r="K77" s="19" t="str">
        <f ca="1">IF(AF77&lt;=VLOOKUP(D77,'power prob array'!$A:$M,6), VLOOKUP(Swords!BO77,Swords!$AS:$BB,10), "")</f>
        <v/>
      </c>
      <c r="L77" s="19" t="str">
        <f ca="1">IF(AG77&lt;=VLOOKUP(D77,'power prob array'!$A:$M,7), VLOOKUP(Swords!BP77,Swords!$AS:$BB,10), "")</f>
        <v/>
      </c>
      <c r="M77" s="19" t="str">
        <f t="shared" ca="1" si="26"/>
        <v>No</v>
      </c>
      <c r="N77" s="19" t="str">
        <f ca="1">IF(AI77&lt;=VLOOKUP(D77,'power prob array'!$A:$M,8), VLOOKUP(Swords!BQ77,Swords!$AS:$BC,11), "")</f>
        <v/>
      </c>
      <c r="O77" s="19" t="str">
        <f ca="1">IF(AJ77&lt;=VLOOKUP(D77,'power prob array'!$A:$M,9), VLOOKUP(Swords!BR77,Swords!$AS:$BC,11), "")</f>
        <v/>
      </c>
      <c r="P77" s="19" t="str">
        <f ca="1">IF(AK77&lt;=VLOOKUP(D77,'power prob array'!$A:$M,10), VLOOKUP(Swords!BS77,Swords!$AS:$BC,11), "")</f>
        <v/>
      </c>
      <c r="Q77" s="19" t="str">
        <f ca="1">IF(AL77&lt;=VLOOKUP(D77,'power prob array'!$A:$M,11), VLOOKUP(Swords!BT77,Swords!$AS:$BC,11), "")</f>
        <v/>
      </c>
      <c r="R77" s="19" t="str">
        <f ca="1">IF(AM77&lt;=VLOOKUP(D77,'power prob array'!$A:$M,12), VLOOKUP(Swords!BU77,Swords!$AS:$BC,11), "")</f>
        <v/>
      </c>
      <c r="S77" s="19" t="str">
        <f ca="1">IF(AN77&lt;=VLOOKUP(D77,'power prob array'!$A:$M,13), VLOOKUP(Swords!BV77,Swords!$AS:$BC,11), "")</f>
        <v/>
      </c>
      <c r="T77" s="18" t="str">
        <f t="shared" ca="1" si="31"/>
        <v>No</v>
      </c>
      <c r="U77" s="18" t="str" cm="1">
        <f t="array" aca="1" ref="U77" ca="1">_xlfn.IFS(T77="Talent", VLOOKUP(AP77,$AS:$BF,14), T77="No", "", 1=1, VLOOKUP(AP77,$AS:$BF,13))</f>
        <v/>
      </c>
      <c r="V77" s="1"/>
      <c r="W77" s="1"/>
      <c r="X77" s="1">
        <f t="shared" ca="1" si="30"/>
        <v>53</v>
      </c>
      <c r="Y77" s="1">
        <f t="shared" ca="1" si="30"/>
        <v>9</v>
      </c>
      <c r="Z77" s="1">
        <f t="shared" ca="1" si="30"/>
        <v>43</v>
      </c>
      <c r="AA77" s="1">
        <f t="shared" ca="1" si="30"/>
        <v>81</v>
      </c>
      <c r="AB77" s="1">
        <f t="shared" ca="1" si="30"/>
        <v>30</v>
      </c>
      <c r="AC77" s="1">
        <f t="shared" ca="1" si="30"/>
        <v>83</v>
      </c>
      <c r="AD77" s="1">
        <f t="shared" ca="1" si="30"/>
        <v>64</v>
      </c>
      <c r="AE77" s="1">
        <f t="shared" ca="1" si="30"/>
        <v>10</v>
      </c>
      <c r="AF77" s="1">
        <f t="shared" ca="1" si="30"/>
        <v>5</v>
      </c>
      <c r="AG77" s="1">
        <f t="shared" ca="1" si="30"/>
        <v>71</v>
      </c>
      <c r="AH77" s="1"/>
      <c r="AI77" s="1">
        <f t="shared" ca="1" si="30"/>
        <v>100</v>
      </c>
      <c r="AJ77" s="1">
        <f t="shared" ca="1" si="30"/>
        <v>76</v>
      </c>
      <c r="AK77" s="1">
        <f t="shared" ca="1" si="30"/>
        <v>53</v>
      </c>
      <c r="AL77" s="1">
        <f t="shared" ca="1" si="30"/>
        <v>6</v>
      </c>
      <c r="AM77" s="1">
        <f t="shared" ca="1" si="30"/>
        <v>15</v>
      </c>
      <c r="AN77" s="1">
        <f t="shared" ca="1" si="27"/>
        <v>41</v>
      </c>
      <c r="AO77" s="1">
        <f t="shared" ca="1" si="27"/>
        <v>73</v>
      </c>
      <c r="AP77" s="1">
        <f t="shared" ca="1" si="27"/>
        <v>44</v>
      </c>
      <c r="AQ77" s="1"/>
      <c r="AR77" s="1"/>
      <c r="AS77">
        <v>77</v>
      </c>
      <c r="AT77" t="s">
        <v>679</v>
      </c>
      <c r="AU77" s="9" t="s">
        <v>556</v>
      </c>
      <c r="AV77" s="9" t="s">
        <v>556</v>
      </c>
      <c r="AW77" s="9" t="s">
        <v>692</v>
      </c>
      <c r="AX77" s="9" t="s">
        <v>683</v>
      </c>
      <c r="AY77" s="16" t="s">
        <v>683</v>
      </c>
      <c r="AZ77" s="9" t="s">
        <v>692</v>
      </c>
      <c r="BA77" s="9" t="s">
        <v>695</v>
      </c>
      <c r="BB77" s="9" t="s">
        <v>463</v>
      </c>
      <c r="BC77" s="9" t="s">
        <v>715</v>
      </c>
      <c r="BD77" s="9" t="s">
        <v>593</v>
      </c>
      <c r="BE77" s="9" t="s">
        <v>646</v>
      </c>
      <c r="BF77" s="9" t="s">
        <v>660</v>
      </c>
      <c r="BK77" s="33">
        <f t="shared" ca="1" si="32"/>
        <v>39</v>
      </c>
      <c r="BL77" s="33">
        <f t="shared" ca="1" si="32"/>
        <v>86</v>
      </c>
      <c r="BM77" s="33">
        <f t="shared" ca="1" si="32"/>
        <v>59</v>
      </c>
      <c r="BN77" s="33">
        <f t="shared" ca="1" si="32"/>
        <v>45</v>
      </c>
      <c r="BO77" s="33">
        <f t="shared" ca="1" si="32"/>
        <v>35</v>
      </c>
      <c r="BP77" s="33">
        <f t="shared" ca="1" si="32"/>
        <v>61</v>
      </c>
      <c r="BQ77" s="33">
        <f t="shared" ca="1" si="32"/>
        <v>73</v>
      </c>
      <c r="BR77" s="33">
        <f t="shared" ca="1" si="32"/>
        <v>65</v>
      </c>
      <c r="BS77" s="33">
        <f t="shared" ca="1" si="32"/>
        <v>51</v>
      </c>
      <c r="BT77" s="33">
        <f t="shared" ca="1" si="32"/>
        <v>8</v>
      </c>
      <c r="BU77" s="33">
        <f t="shared" ca="1" si="32"/>
        <v>65</v>
      </c>
      <c r="BV77" s="33">
        <f t="shared" ca="1" si="32"/>
        <v>86</v>
      </c>
    </row>
    <row r="78" spans="1:76" s="33" customFormat="1" x14ac:dyDescent="0.3">
      <c r="A78" s="49">
        <v>77</v>
      </c>
      <c r="B78" s="18" t="str">
        <f t="shared" ca="1" si="21"/>
        <v>Short</v>
      </c>
      <c r="C78" s="18" t="str">
        <f t="shared" ca="1" si="22"/>
        <v>+1</v>
      </c>
      <c r="D78" s="18">
        <f t="shared" ca="1" si="23"/>
        <v>0</v>
      </c>
      <c r="E78" s="18" t="str">
        <f t="shared" ca="1" si="24"/>
        <v>Nil</v>
      </c>
      <c r="F78" s="18" t="str">
        <f t="shared" ca="1" si="25"/>
        <v>Nil</v>
      </c>
      <c r="G78" s="18" t="str">
        <f ca="1">IF(AB78&lt;=VLOOKUP(D78,'power prob array'!$A:$M,2), VLOOKUP(Swords!BK78,Swords!$AS:$BB,10), "")</f>
        <v/>
      </c>
      <c r="H78" s="18" t="str">
        <f ca="1">IF(AC78&lt;=VLOOKUP(D78,'power prob array'!$A:$M,3), VLOOKUP(Swords!BL78,Swords!$AS:$BB,10), "")</f>
        <v/>
      </c>
      <c r="I78" s="18" t="str">
        <f ca="1">IF(AD78&lt;=VLOOKUP(D78,'power prob array'!$A:$M,4), VLOOKUP(Swords!BM78,Swords!$AS:$BB,10), "")</f>
        <v/>
      </c>
      <c r="J78" s="18" t="str">
        <f ca="1">IF(AE78&lt;=VLOOKUP(D78,'power prob array'!$A:$M,5), VLOOKUP(Swords!BN78,Swords!$AS:$BB,10), "")</f>
        <v/>
      </c>
      <c r="K78" s="18" t="str">
        <f ca="1">IF(AF78&lt;=VLOOKUP(D78,'power prob array'!$A:$M,6), VLOOKUP(Swords!BO78,Swords!$AS:$BB,10), "")</f>
        <v/>
      </c>
      <c r="L78" s="18" t="str">
        <f ca="1">IF(AG78&lt;=VLOOKUP(D78,'power prob array'!$A:$M,7), VLOOKUP(Swords!BP78,Swords!$AS:$BB,10), "")</f>
        <v/>
      </c>
      <c r="M78" s="18" t="str">
        <f t="shared" ca="1" si="26"/>
        <v>No</v>
      </c>
      <c r="N78" s="18" t="str">
        <f ca="1">IF(AI78&lt;=VLOOKUP(D78,'power prob array'!$A:$M,8), VLOOKUP(Swords!BQ78,Swords!$AS:$BC,11), "")</f>
        <v/>
      </c>
      <c r="O78" s="18" t="str">
        <f ca="1">IF(AJ78&lt;=VLOOKUP(D78,'power prob array'!$A:$M,9), VLOOKUP(Swords!BR78,Swords!$AS:$BC,11), "")</f>
        <v/>
      </c>
      <c r="P78" s="18" t="str">
        <f ca="1">IF(AK78&lt;=VLOOKUP(D78,'power prob array'!$A:$M,10), VLOOKUP(Swords!BS78,Swords!$AS:$BC,11), "")</f>
        <v/>
      </c>
      <c r="Q78" s="18" t="str">
        <f ca="1">IF(AL78&lt;=VLOOKUP(D78,'power prob array'!$A:$M,11), VLOOKUP(Swords!BT78,Swords!$AS:$BC,11), "")</f>
        <v/>
      </c>
      <c r="R78" s="18" t="str">
        <f ca="1">IF(AM78&lt;=VLOOKUP(D78,'power prob array'!$A:$M,12), VLOOKUP(Swords!BU78,Swords!$AS:$BC,11), "")</f>
        <v/>
      </c>
      <c r="S78" s="18" t="str">
        <f ca="1">IF(AN78&lt;=VLOOKUP(D78,'power prob array'!$A:$M,13), VLOOKUP(Swords!BV78,Swords!$AS:$BC,11), "")</f>
        <v/>
      </c>
      <c r="T78" s="18" t="str">
        <f t="shared" ca="1" si="31"/>
        <v>No</v>
      </c>
      <c r="U78" s="18" t="str" cm="1">
        <f t="array" aca="1" ref="U78" ca="1">_xlfn.IFS(T78="Talent", VLOOKUP(AP78,$AS:$BF,14), T78="No", "", 1=1, VLOOKUP(AP78,$AS:$BF,13))</f>
        <v/>
      </c>
      <c r="V78" s="1"/>
      <c r="W78" s="1"/>
      <c r="X78" s="1">
        <f t="shared" ca="1" si="30"/>
        <v>78</v>
      </c>
      <c r="Y78" s="1">
        <f t="shared" ca="1" si="30"/>
        <v>3</v>
      </c>
      <c r="Z78" s="1">
        <f t="shared" ca="1" si="30"/>
        <v>51</v>
      </c>
      <c r="AA78" s="1">
        <f t="shared" ca="1" si="30"/>
        <v>52</v>
      </c>
      <c r="AB78" s="1">
        <f t="shared" ca="1" si="30"/>
        <v>52</v>
      </c>
      <c r="AC78" s="1">
        <f t="shared" ca="1" si="30"/>
        <v>92</v>
      </c>
      <c r="AD78" s="1">
        <f t="shared" ca="1" si="30"/>
        <v>34</v>
      </c>
      <c r="AE78" s="1">
        <f t="shared" ca="1" si="30"/>
        <v>54</v>
      </c>
      <c r="AF78" s="1">
        <f t="shared" ca="1" si="30"/>
        <v>57</v>
      </c>
      <c r="AG78" s="1">
        <f t="shared" ca="1" si="30"/>
        <v>20</v>
      </c>
      <c r="AH78" s="1"/>
      <c r="AI78" s="1">
        <f t="shared" ca="1" si="30"/>
        <v>86</v>
      </c>
      <c r="AJ78" s="1">
        <f t="shared" ca="1" si="30"/>
        <v>81</v>
      </c>
      <c r="AK78" s="1">
        <f t="shared" ca="1" si="30"/>
        <v>17</v>
      </c>
      <c r="AL78" s="1">
        <f t="shared" ca="1" si="30"/>
        <v>81</v>
      </c>
      <c r="AM78" s="1">
        <f t="shared" ca="1" si="30"/>
        <v>99</v>
      </c>
      <c r="AN78" s="1">
        <f t="shared" ca="1" si="27"/>
        <v>40</v>
      </c>
      <c r="AO78" s="1">
        <f t="shared" ca="1" si="27"/>
        <v>58</v>
      </c>
      <c r="AP78" s="1">
        <f t="shared" ca="1" si="27"/>
        <v>39</v>
      </c>
      <c r="AQ78" s="1"/>
      <c r="AR78" s="1"/>
      <c r="AS78" s="33">
        <v>78</v>
      </c>
      <c r="AT78" s="33" t="s">
        <v>679</v>
      </c>
      <c r="AU78" s="34" t="s">
        <v>556</v>
      </c>
      <c r="AV78" s="34" t="s">
        <v>556</v>
      </c>
      <c r="AW78" s="34" t="s">
        <v>692</v>
      </c>
      <c r="AX78" s="34" t="s">
        <v>683</v>
      </c>
      <c r="AY78" s="35" t="s">
        <v>683</v>
      </c>
      <c r="AZ78" s="34" t="s">
        <v>692</v>
      </c>
      <c r="BA78" s="34" t="s">
        <v>695</v>
      </c>
      <c r="BB78" s="34" t="s">
        <v>463</v>
      </c>
      <c r="BC78" s="34" t="s">
        <v>715</v>
      </c>
      <c r="BD78" s="34" t="s">
        <v>593</v>
      </c>
      <c r="BE78" s="34" t="s">
        <v>646</v>
      </c>
      <c r="BF78" s="34" t="s">
        <v>660</v>
      </c>
      <c r="BK78" s="33">
        <f t="shared" ca="1" si="32"/>
        <v>25</v>
      </c>
      <c r="BL78" s="33">
        <f t="shared" ca="1" si="32"/>
        <v>3</v>
      </c>
      <c r="BM78" s="33">
        <f t="shared" ca="1" si="32"/>
        <v>27</v>
      </c>
      <c r="BN78" s="33">
        <f t="shared" ca="1" si="32"/>
        <v>89</v>
      </c>
      <c r="BO78" s="33">
        <f t="shared" ca="1" si="32"/>
        <v>19</v>
      </c>
      <c r="BP78" s="33">
        <f t="shared" ca="1" si="32"/>
        <v>77</v>
      </c>
      <c r="BQ78" s="33">
        <f t="shared" ca="1" si="32"/>
        <v>81</v>
      </c>
      <c r="BR78" s="33">
        <f t="shared" ca="1" si="32"/>
        <v>68</v>
      </c>
      <c r="BS78" s="33">
        <f t="shared" ca="1" si="32"/>
        <v>56</v>
      </c>
      <c r="BT78" s="33">
        <f t="shared" ca="1" si="32"/>
        <v>99</v>
      </c>
      <c r="BU78" s="33">
        <f t="shared" ca="1" si="32"/>
        <v>39</v>
      </c>
      <c r="BV78" s="33">
        <f t="shared" ca="1" si="32"/>
        <v>1</v>
      </c>
      <c r="BX78" s="36"/>
    </row>
    <row r="79" spans="1:76" x14ac:dyDescent="0.3">
      <c r="A79" s="49">
        <v>78</v>
      </c>
      <c r="B79" s="19" t="str">
        <f t="shared" ca="1" si="21"/>
        <v>Short</v>
      </c>
      <c r="C79" s="19" t="str">
        <f t="shared" ca="1" si="22"/>
        <v>+1</v>
      </c>
      <c r="D79" s="19">
        <f t="shared" ca="1" si="23"/>
        <v>0</v>
      </c>
      <c r="E79" s="19" t="str">
        <f t="shared" ca="1" si="24"/>
        <v>Nil</v>
      </c>
      <c r="F79" s="19" t="str">
        <f t="shared" ca="1" si="25"/>
        <v>Nil</v>
      </c>
      <c r="G79" s="19" t="str">
        <f ca="1">IF(AB79&lt;=VLOOKUP(D79,'power prob array'!$A:$M,2), VLOOKUP(Swords!BK79,Swords!$AS:$BB,10), "")</f>
        <v/>
      </c>
      <c r="H79" s="19" t="str">
        <f ca="1">IF(AC79&lt;=VLOOKUP(D79,'power prob array'!$A:$M,3), VLOOKUP(Swords!BL79,Swords!$AS:$BB,10), "")</f>
        <v/>
      </c>
      <c r="I79" s="19" t="str">
        <f ca="1">IF(AD79&lt;=VLOOKUP(D79,'power prob array'!$A:$M,4), VLOOKUP(Swords!BM79,Swords!$AS:$BB,10), "")</f>
        <v/>
      </c>
      <c r="J79" s="19" t="str">
        <f ca="1">IF(AE79&lt;=VLOOKUP(D79,'power prob array'!$A:$M,5), VLOOKUP(Swords!BN79,Swords!$AS:$BB,10), "")</f>
        <v/>
      </c>
      <c r="K79" s="19" t="str">
        <f ca="1">IF(AF79&lt;=VLOOKUP(D79,'power prob array'!$A:$M,6), VLOOKUP(Swords!BO79,Swords!$AS:$BB,10), "")</f>
        <v/>
      </c>
      <c r="L79" s="19" t="str">
        <f ca="1">IF(AG79&lt;=VLOOKUP(D79,'power prob array'!$A:$M,7), VLOOKUP(Swords!BP79,Swords!$AS:$BB,10), "")</f>
        <v/>
      </c>
      <c r="M79" s="19" t="str">
        <f t="shared" ca="1" si="26"/>
        <v>No</v>
      </c>
      <c r="N79" s="19" t="str">
        <f ca="1">IF(AI79&lt;=VLOOKUP(D79,'power prob array'!$A:$M,8), VLOOKUP(Swords!BQ79,Swords!$AS:$BC,11), "")</f>
        <v/>
      </c>
      <c r="O79" s="19" t="str">
        <f ca="1">IF(AJ79&lt;=VLOOKUP(D79,'power prob array'!$A:$M,9), VLOOKUP(Swords!BR79,Swords!$AS:$BC,11), "")</f>
        <v/>
      </c>
      <c r="P79" s="19" t="str">
        <f ca="1">IF(AK79&lt;=VLOOKUP(D79,'power prob array'!$A:$M,10), VLOOKUP(Swords!BS79,Swords!$AS:$BC,11), "")</f>
        <v/>
      </c>
      <c r="Q79" s="19" t="str">
        <f ca="1">IF(AL79&lt;=VLOOKUP(D79,'power prob array'!$A:$M,11), VLOOKUP(Swords!BT79,Swords!$AS:$BC,11), "")</f>
        <v/>
      </c>
      <c r="R79" s="19" t="str">
        <f ca="1">IF(AM79&lt;=VLOOKUP(D79,'power prob array'!$A:$M,12), VLOOKUP(Swords!BU79,Swords!$AS:$BC,11), "")</f>
        <v/>
      </c>
      <c r="S79" s="19" t="str">
        <f ca="1">IF(AN79&lt;=VLOOKUP(D79,'power prob array'!$A:$M,13), VLOOKUP(Swords!BV79,Swords!$AS:$BC,11), "")</f>
        <v/>
      </c>
      <c r="T79" s="18" t="str">
        <f t="shared" ca="1" si="31"/>
        <v>No</v>
      </c>
      <c r="U79" s="18" t="str" cm="1">
        <f t="array" aca="1" ref="U79" ca="1">_xlfn.IFS(T79="Talent", VLOOKUP(AP79,$AS:$BF,14), T79="No", "", 1=1, VLOOKUP(AP79,$AS:$BF,13))</f>
        <v/>
      </c>
      <c r="V79" s="1"/>
      <c r="W79" s="1"/>
      <c r="X79" s="1">
        <f t="shared" ca="1" si="30"/>
        <v>80</v>
      </c>
      <c r="Y79" s="1">
        <f t="shared" ca="1" si="30"/>
        <v>39</v>
      </c>
      <c r="Z79" s="1">
        <f t="shared" ca="1" si="30"/>
        <v>9</v>
      </c>
      <c r="AA79" s="1">
        <f t="shared" ca="1" si="30"/>
        <v>7</v>
      </c>
      <c r="AB79" s="1">
        <f t="shared" ca="1" si="30"/>
        <v>97</v>
      </c>
      <c r="AC79" s="1">
        <f t="shared" ca="1" si="30"/>
        <v>56</v>
      </c>
      <c r="AD79" s="1">
        <f t="shared" ca="1" si="30"/>
        <v>65</v>
      </c>
      <c r="AE79" s="1">
        <f t="shared" ca="1" si="30"/>
        <v>56</v>
      </c>
      <c r="AF79" s="1">
        <f t="shared" ca="1" si="30"/>
        <v>50</v>
      </c>
      <c r="AG79" s="1">
        <f t="shared" ca="1" si="30"/>
        <v>59</v>
      </c>
      <c r="AH79" s="1"/>
      <c r="AI79" s="1">
        <f t="shared" ca="1" si="30"/>
        <v>49</v>
      </c>
      <c r="AJ79" s="1">
        <f t="shared" ca="1" si="30"/>
        <v>65</v>
      </c>
      <c r="AK79" s="1">
        <f t="shared" ca="1" si="30"/>
        <v>9</v>
      </c>
      <c r="AL79" s="1">
        <f t="shared" ca="1" si="30"/>
        <v>100</v>
      </c>
      <c r="AM79" s="1">
        <f t="shared" ca="1" si="30"/>
        <v>8</v>
      </c>
      <c r="AN79" s="1">
        <f t="shared" ca="1" si="27"/>
        <v>57</v>
      </c>
      <c r="AO79" s="1">
        <f t="shared" ca="1" si="27"/>
        <v>61</v>
      </c>
      <c r="AP79" s="1">
        <f t="shared" ca="1" si="27"/>
        <v>79</v>
      </c>
      <c r="AQ79" s="1"/>
      <c r="AR79" s="1"/>
      <c r="AS79">
        <v>79</v>
      </c>
      <c r="AT79" t="s">
        <v>679</v>
      </c>
      <c r="AU79" s="9" t="s">
        <v>556</v>
      </c>
      <c r="AV79" s="9" t="s">
        <v>556</v>
      </c>
      <c r="AW79" s="9" t="s">
        <v>692</v>
      </c>
      <c r="AX79" s="9" t="s">
        <v>683</v>
      </c>
      <c r="AY79" s="16" t="s">
        <v>683</v>
      </c>
      <c r="AZ79" s="9" t="s">
        <v>692</v>
      </c>
      <c r="BA79" s="9" t="s">
        <v>695</v>
      </c>
      <c r="BB79" s="9" t="s">
        <v>463</v>
      </c>
      <c r="BC79" s="9" t="s">
        <v>715</v>
      </c>
      <c r="BD79" s="9" t="s">
        <v>593</v>
      </c>
      <c r="BE79" s="9" t="s">
        <v>646</v>
      </c>
      <c r="BF79" s="9" t="s">
        <v>660</v>
      </c>
      <c r="BK79" s="33">
        <f t="shared" ca="1" si="32"/>
        <v>85</v>
      </c>
      <c r="BL79" s="33">
        <f t="shared" ca="1" si="32"/>
        <v>89</v>
      </c>
      <c r="BM79" s="33">
        <f t="shared" ca="1" si="32"/>
        <v>44</v>
      </c>
      <c r="BN79" s="33">
        <f t="shared" ca="1" si="32"/>
        <v>29</v>
      </c>
      <c r="BO79" s="33">
        <f t="shared" ca="1" si="32"/>
        <v>40</v>
      </c>
      <c r="BP79" s="33">
        <f t="shared" ca="1" si="32"/>
        <v>97</v>
      </c>
      <c r="BQ79" s="33">
        <f t="shared" ca="1" si="32"/>
        <v>62</v>
      </c>
      <c r="BR79" s="33">
        <f t="shared" ca="1" si="32"/>
        <v>35</v>
      </c>
      <c r="BS79" s="33">
        <f t="shared" ca="1" si="32"/>
        <v>30</v>
      </c>
      <c r="BT79" s="33">
        <f t="shared" ca="1" si="32"/>
        <v>61</v>
      </c>
      <c r="BU79" s="33">
        <f t="shared" ca="1" si="32"/>
        <v>48</v>
      </c>
      <c r="BV79" s="33">
        <f t="shared" ca="1" si="32"/>
        <v>41</v>
      </c>
    </row>
    <row r="80" spans="1:76" s="33" customFormat="1" x14ac:dyDescent="0.3">
      <c r="A80" s="49">
        <v>79</v>
      </c>
      <c r="B80" s="18" t="str">
        <f t="shared" ca="1" si="21"/>
        <v>Normal</v>
      </c>
      <c r="C80" s="18" t="str">
        <f t="shared" ca="1" si="22"/>
        <v>+1</v>
      </c>
      <c r="D80" s="18">
        <f t="shared" ca="1" si="23"/>
        <v>0</v>
      </c>
      <c r="E80" s="18" t="str">
        <f t="shared" ca="1" si="24"/>
        <v>Nil</v>
      </c>
      <c r="F80" s="18" t="str">
        <f t="shared" ca="1" si="25"/>
        <v>Nil</v>
      </c>
      <c r="G80" s="18" t="str">
        <f ca="1">IF(AB80&lt;=VLOOKUP(D80,'power prob array'!$A:$M,2), VLOOKUP(Swords!BK80,Swords!$AS:$BB,10), "")</f>
        <v/>
      </c>
      <c r="H80" s="18" t="str">
        <f ca="1">IF(AC80&lt;=VLOOKUP(D80,'power prob array'!$A:$M,3), VLOOKUP(Swords!BL80,Swords!$AS:$BB,10), "")</f>
        <v/>
      </c>
      <c r="I80" s="18" t="str">
        <f ca="1">IF(AD80&lt;=VLOOKUP(D80,'power prob array'!$A:$M,4), VLOOKUP(Swords!BM80,Swords!$AS:$BB,10), "")</f>
        <v/>
      </c>
      <c r="J80" s="18" t="str">
        <f ca="1">IF(AE80&lt;=VLOOKUP(D80,'power prob array'!$A:$M,5), VLOOKUP(Swords!BN80,Swords!$AS:$BB,10), "")</f>
        <v/>
      </c>
      <c r="K80" s="18" t="str">
        <f ca="1">IF(AF80&lt;=VLOOKUP(D80,'power prob array'!$A:$M,6), VLOOKUP(Swords!BO80,Swords!$AS:$BB,10), "")</f>
        <v/>
      </c>
      <c r="L80" s="18" t="str">
        <f ca="1">IF(AG80&lt;=VLOOKUP(D80,'power prob array'!$A:$M,7), VLOOKUP(Swords!BP80,Swords!$AS:$BB,10), "")</f>
        <v/>
      </c>
      <c r="M80" s="18" t="str">
        <f t="shared" ca="1" si="26"/>
        <v>No</v>
      </c>
      <c r="N80" s="18" t="str">
        <f ca="1">IF(AI80&lt;=VLOOKUP(D80,'power prob array'!$A:$M,8), VLOOKUP(Swords!BQ80,Swords!$AS:$BC,11), "")</f>
        <v/>
      </c>
      <c r="O80" s="18" t="str">
        <f ca="1">IF(AJ80&lt;=VLOOKUP(D80,'power prob array'!$A:$M,9), VLOOKUP(Swords!BR80,Swords!$AS:$BC,11), "")</f>
        <v/>
      </c>
      <c r="P80" s="18" t="str">
        <f ca="1">IF(AK80&lt;=VLOOKUP(D80,'power prob array'!$A:$M,10), VLOOKUP(Swords!BS80,Swords!$AS:$BC,11), "")</f>
        <v/>
      </c>
      <c r="Q80" s="18" t="str">
        <f ca="1">IF(AL80&lt;=VLOOKUP(D80,'power prob array'!$A:$M,11), VLOOKUP(Swords!BT80,Swords!$AS:$BC,11), "")</f>
        <v/>
      </c>
      <c r="R80" s="18" t="str">
        <f ca="1">IF(AM80&lt;=VLOOKUP(D80,'power prob array'!$A:$M,12), VLOOKUP(Swords!BU80,Swords!$AS:$BC,11), "")</f>
        <v/>
      </c>
      <c r="S80" s="18" t="str">
        <f ca="1">IF(AN80&lt;=VLOOKUP(D80,'power prob array'!$A:$M,13), VLOOKUP(Swords!BV80,Swords!$AS:$BC,11), "")</f>
        <v/>
      </c>
      <c r="T80" s="18" t="str">
        <f t="shared" ca="1" si="31"/>
        <v>+3</v>
      </c>
      <c r="U80" s="18" t="str" cm="1">
        <f t="array" aca="1" ref="U80" ca="1">_xlfn.IFS(T80="Talent", VLOOKUP(AP80,$AS:$BF,14), T80="No", "", 1=1, VLOOKUP(AP80,$AS:$BF,13))</f>
        <v>Regenerating Monsters</v>
      </c>
      <c r="V80" s="1"/>
      <c r="W80" s="1"/>
      <c r="X80" s="1">
        <f t="shared" ca="1" si="30"/>
        <v>21</v>
      </c>
      <c r="Y80" s="1">
        <f t="shared" ca="1" si="30"/>
        <v>28</v>
      </c>
      <c r="Z80" s="1">
        <f t="shared" ca="1" si="30"/>
        <v>21</v>
      </c>
      <c r="AA80" s="1">
        <f t="shared" ca="1" si="30"/>
        <v>36</v>
      </c>
      <c r="AB80" s="1">
        <f t="shared" ca="1" si="30"/>
        <v>79</v>
      </c>
      <c r="AC80" s="1">
        <f t="shared" ca="1" si="30"/>
        <v>31</v>
      </c>
      <c r="AD80" s="1">
        <f t="shared" ca="1" si="30"/>
        <v>78</v>
      </c>
      <c r="AE80" s="1">
        <f t="shared" ca="1" si="30"/>
        <v>4</v>
      </c>
      <c r="AF80" s="1">
        <f t="shared" ca="1" si="30"/>
        <v>66</v>
      </c>
      <c r="AG80" s="1">
        <f t="shared" ca="1" si="30"/>
        <v>50</v>
      </c>
      <c r="AH80" s="1"/>
      <c r="AI80" s="1">
        <f t="shared" ca="1" si="30"/>
        <v>92</v>
      </c>
      <c r="AJ80" s="1">
        <f t="shared" ca="1" si="30"/>
        <v>70</v>
      </c>
      <c r="AK80" s="1">
        <f t="shared" ca="1" si="30"/>
        <v>65</v>
      </c>
      <c r="AL80" s="1">
        <f t="shared" ca="1" si="30"/>
        <v>81</v>
      </c>
      <c r="AM80" s="1">
        <f t="shared" ca="1" si="30"/>
        <v>77</v>
      </c>
      <c r="AN80" s="1">
        <f t="shared" ca="1" si="27"/>
        <v>61</v>
      </c>
      <c r="AO80" s="1">
        <f t="shared" ca="1" si="27"/>
        <v>22</v>
      </c>
      <c r="AP80" s="1">
        <f t="shared" ca="1" si="27"/>
        <v>57</v>
      </c>
      <c r="AQ80" s="1"/>
      <c r="AR80" s="1"/>
      <c r="AS80" s="33">
        <v>80</v>
      </c>
      <c r="AT80" s="33" t="s">
        <v>679</v>
      </c>
      <c r="AU80" s="34" t="s">
        <v>556</v>
      </c>
      <c r="AV80" s="34" t="s">
        <v>556</v>
      </c>
      <c r="AW80" s="34" t="s">
        <v>684</v>
      </c>
      <c r="AX80" s="34" t="s">
        <v>691</v>
      </c>
      <c r="AY80" s="35" t="s">
        <v>683</v>
      </c>
      <c r="AZ80" s="34" t="s">
        <v>690</v>
      </c>
      <c r="BA80" s="34" t="s">
        <v>695</v>
      </c>
      <c r="BB80" s="34" t="s">
        <v>463</v>
      </c>
      <c r="BC80" s="34" t="s">
        <v>716</v>
      </c>
      <c r="BD80" s="34" t="s">
        <v>593</v>
      </c>
      <c r="BE80" s="34" t="s">
        <v>646</v>
      </c>
      <c r="BF80" s="34" t="s">
        <v>661</v>
      </c>
      <c r="BK80" s="33">
        <f t="shared" ca="1" si="32"/>
        <v>86</v>
      </c>
      <c r="BL80" s="33">
        <f t="shared" ca="1" si="32"/>
        <v>65</v>
      </c>
      <c r="BM80" s="33">
        <f t="shared" ca="1" si="32"/>
        <v>30</v>
      </c>
      <c r="BN80" s="33">
        <f t="shared" ca="1" si="32"/>
        <v>67</v>
      </c>
      <c r="BO80" s="33">
        <f t="shared" ca="1" si="32"/>
        <v>99</v>
      </c>
      <c r="BP80" s="33">
        <f t="shared" ca="1" si="32"/>
        <v>85</v>
      </c>
      <c r="BQ80" s="33">
        <f t="shared" ca="1" si="32"/>
        <v>99</v>
      </c>
      <c r="BR80" s="33">
        <f t="shared" ca="1" si="32"/>
        <v>51</v>
      </c>
      <c r="BS80" s="33">
        <f t="shared" ca="1" si="32"/>
        <v>43</v>
      </c>
      <c r="BT80" s="33">
        <f t="shared" ca="1" si="32"/>
        <v>9</v>
      </c>
      <c r="BU80" s="33">
        <f t="shared" ca="1" si="32"/>
        <v>26</v>
      </c>
      <c r="BV80" s="33">
        <f t="shared" ca="1" si="32"/>
        <v>50</v>
      </c>
      <c r="BX80" s="36"/>
    </row>
    <row r="81" spans="1:76" x14ac:dyDescent="0.3">
      <c r="A81" s="49">
        <v>80</v>
      </c>
      <c r="B81" s="19" t="str">
        <f t="shared" ca="1" si="21"/>
        <v>Short</v>
      </c>
      <c r="C81" s="19" t="str">
        <f t="shared" ca="1" si="22"/>
        <v>+1</v>
      </c>
      <c r="D81" s="19">
        <f t="shared" ca="1" si="23"/>
        <v>0</v>
      </c>
      <c r="E81" s="19" t="str">
        <f t="shared" ca="1" si="24"/>
        <v>Nil</v>
      </c>
      <c r="F81" s="19" t="str">
        <f t="shared" ca="1" si="25"/>
        <v>Nil</v>
      </c>
      <c r="G81" s="19" t="str">
        <f ca="1">IF(AB81&lt;=VLOOKUP(D81,'power prob array'!$A:$M,2), VLOOKUP(Swords!BK81,Swords!$AS:$BB,10), "")</f>
        <v/>
      </c>
      <c r="H81" s="19" t="str">
        <f ca="1">IF(AC81&lt;=VLOOKUP(D81,'power prob array'!$A:$M,3), VLOOKUP(Swords!BL81,Swords!$AS:$BB,10), "")</f>
        <v/>
      </c>
      <c r="I81" s="19" t="str">
        <f ca="1">IF(AD81&lt;=VLOOKUP(D81,'power prob array'!$A:$M,4), VLOOKUP(Swords!BM81,Swords!$AS:$BB,10), "")</f>
        <v/>
      </c>
      <c r="J81" s="19" t="str">
        <f ca="1">IF(AE81&lt;=VLOOKUP(D81,'power prob array'!$A:$M,5), VLOOKUP(Swords!BN81,Swords!$AS:$BB,10), "")</f>
        <v/>
      </c>
      <c r="K81" s="19" t="str">
        <f ca="1">IF(AF81&lt;=VLOOKUP(D81,'power prob array'!$A:$M,6), VLOOKUP(Swords!BO81,Swords!$AS:$BB,10), "")</f>
        <v/>
      </c>
      <c r="L81" s="19" t="str">
        <f ca="1">IF(AG81&lt;=VLOOKUP(D81,'power prob array'!$A:$M,7), VLOOKUP(Swords!BP81,Swords!$AS:$BB,10), "")</f>
        <v/>
      </c>
      <c r="M81" s="19" t="str">
        <f t="shared" ca="1" si="26"/>
        <v>No</v>
      </c>
      <c r="N81" s="19" t="str">
        <f ca="1">IF(AI81&lt;=VLOOKUP(D81,'power prob array'!$A:$M,8), VLOOKUP(Swords!BQ81,Swords!$AS:$BC,11), "")</f>
        <v/>
      </c>
      <c r="O81" s="19" t="str">
        <f ca="1">IF(AJ81&lt;=VLOOKUP(D81,'power prob array'!$A:$M,9), VLOOKUP(Swords!BR81,Swords!$AS:$BC,11), "")</f>
        <v/>
      </c>
      <c r="P81" s="19" t="str">
        <f ca="1">IF(AK81&lt;=VLOOKUP(D81,'power prob array'!$A:$M,10), VLOOKUP(Swords!BS81,Swords!$AS:$BC,11), "")</f>
        <v/>
      </c>
      <c r="Q81" s="19" t="str">
        <f ca="1">IF(AL81&lt;=VLOOKUP(D81,'power prob array'!$A:$M,11), VLOOKUP(Swords!BT81,Swords!$AS:$BC,11), "")</f>
        <v/>
      </c>
      <c r="R81" s="19" t="str">
        <f ca="1">IF(AM81&lt;=VLOOKUP(D81,'power prob array'!$A:$M,12), VLOOKUP(Swords!BU81,Swords!$AS:$BC,11), "")</f>
        <v/>
      </c>
      <c r="S81" s="19" t="str">
        <f ca="1">IF(AN81&lt;=VLOOKUP(D81,'power prob array'!$A:$M,13), VLOOKUP(Swords!BV81,Swords!$AS:$BC,11), "")</f>
        <v/>
      </c>
      <c r="T81" s="18" t="str">
        <f t="shared" ca="1" si="31"/>
        <v>No</v>
      </c>
      <c r="U81" s="18" t="str" cm="1">
        <f t="array" aca="1" ref="U81" ca="1">_xlfn.IFS(T81="Talent", VLOOKUP(AP81,$AS:$BF,14), T81="No", "", 1=1, VLOOKUP(AP81,$AS:$BF,13))</f>
        <v/>
      </c>
      <c r="V81" s="1"/>
      <c r="W81" s="1"/>
      <c r="X81" s="1">
        <f t="shared" ca="1" si="30"/>
        <v>74</v>
      </c>
      <c r="Y81" s="1">
        <f t="shared" ca="1" si="30"/>
        <v>42</v>
      </c>
      <c r="Z81" s="1">
        <f t="shared" ca="1" si="30"/>
        <v>37</v>
      </c>
      <c r="AA81" s="1">
        <f t="shared" ca="1" si="30"/>
        <v>23</v>
      </c>
      <c r="AB81" s="1">
        <f t="shared" ca="1" si="30"/>
        <v>99</v>
      </c>
      <c r="AC81" s="1">
        <f t="shared" ca="1" si="30"/>
        <v>46</v>
      </c>
      <c r="AD81" s="1">
        <f t="shared" ca="1" si="30"/>
        <v>2</v>
      </c>
      <c r="AE81" s="1">
        <f t="shared" ca="1" si="30"/>
        <v>67</v>
      </c>
      <c r="AF81" s="1">
        <f t="shared" ca="1" si="30"/>
        <v>14</v>
      </c>
      <c r="AG81" s="1">
        <f t="shared" ca="1" si="30"/>
        <v>69</v>
      </c>
      <c r="AH81" s="1"/>
      <c r="AI81" s="1">
        <f t="shared" ca="1" si="30"/>
        <v>80</v>
      </c>
      <c r="AJ81" s="1">
        <f t="shared" ca="1" si="30"/>
        <v>25</v>
      </c>
      <c r="AK81" s="1">
        <f t="shared" ca="1" si="30"/>
        <v>6</v>
      </c>
      <c r="AL81" s="1">
        <f t="shared" ca="1" si="30"/>
        <v>85</v>
      </c>
      <c r="AM81" s="1">
        <f t="shared" ca="1" si="30"/>
        <v>28</v>
      </c>
      <c r="AN81" s="1">
        <f t="shared" ca="1" si="27"/>
        <v>23</v>
      </c>
      <c r="AO81" s="1">
        <f t="shared" ca="1" si="27"/>
        <v>100</v>
      </c>
      <c r="AP81" s="1">
        <f t="shared" ca="1" si="27"/>
        <v>95</v>
      </c>
      <c r="AQ81" s="1"/>
      <c r="AR81" s="1"/>
      <c r="AS81">
        <v>81</v>
      </c>
      <c r="AT81" t="s">
        <v>679</v>
      </c>
      <c r="AU81" s="9" t="s">
        <v>556</v>
      </c>
      <c r="AV81" s="9" t="s">
        <v>556</v>
      </c>
      <c r="AW81" s="9" t="s">
        <v>684</v>
      </c>
      <c r="AX81" s="9" t="s">
        <v>691</v>
      </c>
      <c r="AY81" s="16" t="s">
        <v>683</v>
      </c>
      <c r="AZ81" s="9" t="s">
        <v>690</v>
      </c>
      <c r="BA81" s="9" t="s">
        <v>695</v>
      </c>
      <c r="BB81" s="9" t="s">
        <v>463</v>
      </c>
      <c r="BC81" s="9" t="s">
        <v>716</v>
      </c>
      <c r="BD81" s="9" t="s">
        <v>593</v>
      </c>
      <c r="BE81" s="9" t="s">
        <v>646</v>
      </c>
      <c r="BF81" s="9" t="s">
        <v>661</v>
      </c>
      <c r="BK81" s="33">
        <f t="shared" ca="1" si="32"/>
        <v>42</v>
      </c>
      <c r="BL81" s="33">
        <f t="shared" ca="1" si="32"/>
        <v>37</v>
      </c>
      <c r="BM81" s="33">
        <f t="shared" ca="1" si="32"/>
        <v>64</v>
      </c>
      <c r="BN81" s="33">
        <f t="shared" ca="1" si="32"/>
        <v>4</v>
      </c>
      <c r="BO81" s="33">
        <f t="shared" ca="1" si="32"/>
        <v>39</v>
      </c>
      <c r="BP81" s="33">
        <f t="shared" ca="1" si="32"/>
        <v>44</v>
      </c>
      <c r="BQ81" s="33">
        <f t="shared" ca="1" si="32"/>
        <v>41</v>
      </c>
      <c r="BR81" s="33">
        <f t="shared" ca="1" si="32"/>
        <v>11</v>
      </c>
      <c r="BS81" s="33">
        <f t="shared" ca="1" si="32"/>
        <v>93</v>
      </c>
      <c r="BT81" s="33">
        <f t="shared" ca="1" si="32"/>
        <v>75</v>
      </c>
      <c r="BU81" s="33">
        <f t="shared" ca="1" si="32"/>
        <v>53</v>
      </c>
      <c r="BV81" s="33">
        <f t="shared" ca="1" si="32"/>
        <v>12</v>
      </c>
    </row>
    <row r="82" spans="1:76" s="33" customFormat="1" x14ac:dyDescent="0.3">
      <c r="A82" s="49">
        <v>81</v>
      </c>
      <c r="B82" s="18" t="str">
        <f t="shared" ca="1" si="21"/>
        <v>Normal</v>
      </c>
      <c r="C82" s="18" t="str">
        <f t="shared" ca="1" si="22"/>
        <v>+1</v>
      </c>
      <c r="D82" s="18">
        <f t="shared" ca="1" si="23"/>
        <v>8</v>
      </c>
      <c r="E82" s="18" t="str">
        <f t="shared" ca="1" si="24"/>
        <v>Empathy</v>
      </c>
      <c r="F82" s="18" t="str">
        <f t="shared" ca="1" si="25"/>
        <v>Nil</v>
      </c>
      <c r="G82" s="18" t="str">
        <f ca="1">IF(AB82&lt;=VLOOKUP(D82,'power prob array'!$A:$M,2), VLOOKUP(Swords!BK82,Swords!$AS:$BB,10), "")</f>
        <v>Find Secret Doors</v>
      </c>
      <c r="H82" s="18" t="str">
        <f ca="1">IF(AC82&lt;=VLOOKUP(D82,'power prob array'!$A:$M,3), VLOOKUP(Swords!BL82,Swords!$AS:$BB,10), "")</f>
        <v>Find Traps</v>
      </c>
      <c r="I82" s="18" t="str">
        <f ca="1">IF(AD82&lt;=VLOOKUP(D82,'power prob array'!$A:$M,4), VLOOKUP(Swords!BM82,Swords!$AS:$BB,10), "")</f>
        <v/>
      </c>
      <c r="J82" s="18" t="str">
        <f ca="1">IF(AE82&lt;=VLOOKUP(D82,'power prob array'!$A:$M,5), VLOOKUP(Swords!BN82,Swords!$AS:$BB,10), "")</f>
        <v/>
      </c>
      <c r="K82" s="18" t="str">
        <f ca="1">IF(AF82&lt;=VLOOKUP(D82,'power prob array'!$A:$M,6), VLOOKUP(Swords!BO82,Swords!$AS:$BB,10), "")</f>
        <v/>
      </c>
      <c r="L82" s="18" t="str">
        <f ca="1">IF(AG82&lt;=VLOOKUP(D82,'power prob array'!$A:$M,7), VLOOKUP(Swords!BP82,Swords!$AS:$BB,10), "")</f>
        <v/>
      </c>
      <c r="M82" s="18" t="str">
        <f t="shared" ca="1" si="26"/>
        <v>No</v>
      </c>
      <c r="N82" s="18" t="str">
        <f ca="1">IF(AI82&lt;=VLOOKUP(D82,'power prob array'!$A:$M,8), VLOOKUP(Swords!BQ82,Swords!$AS:$BC,11), "")</f>
        <v/>
      </c>
      <c r="O82" s="18" t="str">
        <f ca="1">IF(AJ82&lt;=VLOOKUP(D82,'power prob array'!$A:$M,9), VLOOKUP(Swords!BR82,Swords!$AS:$BC,11), "")</f>
        <v/>
      </c>
      <c r="P82" s="18" t="str">
        <f ca="1">IF(AK82&lt;=VLOOKUP(D82,'power prob array'!$A:$M,10), VLOOKUP(Swords!BS82,Swords!$AS:$BC,11), "")</f>
        <v/>
      </c>
      <c r="Q82" s="18" t="str">
        <f ca="1">IF(AL82&lt;=VLOOKUP(D82,'power prob array'!$A:$M,11), VLOOKUP(Swords!BT82,Swords!$AS:$BC,11), "")</f>
        <v/>
      </c>
      <c r="R82" s="18" t="str">
        <f ca="1">IF(AM82&lt;=VLOOKUP(D82,'power prob array'!$A:$M,12), VLOOKUP(Swords!BU82,Swords!$AS:$BC,11), "")</f>
        <v/>
      </c>
      <c r="S82" s="18" t="str">
        <f ca="1">IF(AN82&lt;=VLOOKUP(D82,'power prob array'!$A:$M,13), VLOOKUP(Swords!BV82,Swords!$AS:$BC,11), "")</f>
        <v/>
      </c>
      <c r="T82" s="18" t="str">
        <f t="shared" ca="1" si="31"/>
        <v>No</v>
      </c>
      <c r="U82" s="18" t="str" cm="1">
        <f t="array" aca="1" ref="U82" ca="1">_xlfn.IFS(T82="Talent", VLOOKUP(AP82,$AS:$BF,14), T82="No", "", 1=1, VLOOKUP(AP82,$AS:$BF,13))</f>
        <v/>
      </c>
      <c r="V82" s="1"/>
      <c r="W82" s="1"/>
      <c r="X82" s="1">
        <f t="shared" ref="X82:AM98" ca="1" si="33">RANDBETWEEN(1,100)</f>
        <v>57</v>
      </c>
      <c r="Y82" s="1">
        <f t="shared" ca="1" si="33"/>
        <v>1</v>
      </c>
      <c r="Z82" s="1">
        <f t="shared" ca="1" si="33"/>
        <v>22</v>
      </c>
      <c r="AA82" s="1">
        <f t="shared" ca="1" si="33"/>
        <v>90</v>
      </c>
      <c r="AB82" s="1">
        <f t="shared" ca="1" si="33"/>
        <v>6</v>
      </c>
      <c r="AC82" s="1">
        <f t="shared" ca="1" si="33"/>
        <v>69</v>
      </c>
      <c r="AD82" s="1">
        <f t="shared" ca="1" si="33"/>
        <v>64</v>
      </c>
      <c r="AE82" s="1">
        <f t="shared" ca="1" si="33"/>
        <v>53</v>
      </c>
      <c r="AF82" s="1">
        <f t="shared" ca="1" si="33"/>
        <v>85</v>
      </c>
      <c r="AG82" s="1">
        <f t="shared" ca="1" si="33"/>
        <v>66</v>
      </c>
      <c r="AH82" s="1"/>
      <c r="AI82" s="1">
        <f t="shared" ca="1" si="33"/>
        <v>98</v>
      </c>
      <c r="AJ82" s="1">
        <f t="shared" ca="1" si="33"/>
        <v>89</v>
      </c>
      <c r="AK82" s="1">
        <f t="shared" ca="1" si="33"/>
        <v>22</v>
      </c>
      <c r="AL82" s="1">
        <f t="shared" ca="1" si="33"/>
        <v>2</v>
      </c>
      <c r="AM82" s="1">
        <f t="shared" ca="1" si="33"/>
        <v>48</v>
      </c>
      <c r="AN82" s="1">
        <f t="shared" ca="1" si="27"/>
        <v>36</v>
      </c>
      <c r="AO82" s="1">
        <f t="shared" ca="1" si="27"/>
        <v>92</v>
      </c>
      <c r="AP82" s="1">
        <f t="shared" ca="1" si="27"/>
        <v>78</v>
      </c>
      <c r="AQ82" s="1"/>
      <c r="AR82" s="1"/>
      <c r="AS82" s="33">
        <v>82</v>
      </c>
      <c r="AT82" s="33" t="s">
        <v>679</v>
      </c>
      <c r="AU82" s="34" t="s">
        <v>557</v>
      </c>
      <c r="AV82" s="34" t="s">
        <v>556</v>
      </c>
      <c r="AW82" s="34" t="s">
        <v>684</v>
      </c>
      <c r="AX82" s="34" t="s">
        <v>691</v>
      </c>
      <c r="AY82" s="35" t="s">
        <v>683</v>
      </c>
      <c r="AZ82" s="34" t="s">
        <v>690</v>
      </c>
      <c r="BA82" s="34" t="s">
        <v>695</v>
      </c>
      <c r="BB82" s="34" t="s">
        <v>463</v>
      </c>
      <c r="BC82" s="34" t="s">
        <v>716</v>
      </c>
      <c r="BD82" s="34" t="s">
        <v>593</v>
      </c>
      <c r="BE82" s="34" t="s">
        <v>646</v>
      </c>
      <c r="BF82" s="34" t="s">
        <v>662</v>
      </c>
      <c r="BK82" s="33">
        <f t="shared" ca="1" si="32"/>
        <v>70</v>
      </c>
      <c r="BL82" s="33">
        <f t="shared" ca="1" si="32"/>
        <v>97</v>
      </c>
      <c r="BM82" s="33">
        <f t="shared" ca="1" si="32"/>
        <v>69</v>
      </c>
      <c r="BN82" s="33">
        <f t="shared" ca="1" si="32"/>
        <v>92</v>
      </c>
      <c r="BO82" s="33">
        <f t="shared" ca="1" si="32"/>
        <v>50</v>
      </c>
      <c r="BP82" s="33">
        <f t="shared" ca="1" si="32"/>
        <v>29</v>
      </c>
      <c r="BQ82" s="33">
        <f t="shared" ca="1" si="32"/>
        <v>46</v>
      </c>
      <c r="BR82" s="33">
        <f t="shared" ca="1" si="32"/>
        <v>8</v>
      </c>
      <c r="BS82" s="33">
        <f t="shared" ca="1" si="32"/>
        <v>91</v>
      </c>
      <c r="BT82" s="33">
        <f t="shared" ca="1" si="32"/>
        <v>9</v>
      </c>
      <c r="BU82" s="33">
        <f t="shared" ca="1" si="32"/>
        <v>6</v>
      </c>
      <c r="BV82" s="33">
        <f t="shared" ca="1" si="32"/>
        <v>51</v>
      </c>
      <c r="BX82" s="36"/>
    </row>
    <row r="83" spans="1:76" x14ac:dyDescent="0.3">
      <c r="A83" s="49">
        <v>82</v>
      </c>
      <c r="B83" s="19" t="str">
        <f t="shared" ca="1" si="21"/>
        <v>Two-handed</v>
      </c>
      <c r="C83" s="19" t="str">
        <f t="shared" ca="1" si="22"/>
        <v>+1</v>
      </c>
      <c r="D83" s="19">
        <f t="shared" ca="1" si="23"/>
        <v>12</v>
      </c>
      <c r="E83" s="19" t="str">
        <f t="shared" ca="1" si="24"/>
        <v>Speech</v>
      </c>
      <c r="F83" s="19">
        <f t="shared" ca="1" si="25"/>
        <v>2</v>
      </c>
      <c r="G83" s="19" t="str">
        <f ca="1">IF(AB83&lt;=VLOOKUP(D83,'power prob array'!$A:$M,2), VLOOKUP(Swords!BK83,Swords!$AS:$BB,10), "")</f>
        <v>Find Traps</v>
      </c>
      <c r="H83" s="19" t="str">
        <f ca="1">IF(AC83&lt;=VLOOKUP(D83,'power prob array'!$A:$M,3), VLOOKUP(Swords!BL83,Swords!$AS:$BB,10), "")</f>
        <v>Detect Gems</v>
      </c>
      <c r="I83" s="19" t="str">
        <f ca="1">IF(AD83&lt;=VLOOKUP(D83,'power prob array'!$A:$M,4), VLOOKUP(Swords!BM83,Swords!$AS:$BB,10), "")</f>
        <v>Detect Gems</v>
      </c>
      <c r="J83" s="19" t="str">
        <f ca="1">IF(AE83&lt;=VLOOKUP(D83,'power prob array'!$A:$M,5), VLOOKUP(Swords!BN83,Swords!$AS:$BB,10), "")</f>
        <v/>
      </c>
      <c r="K83" s="19" t="str">
        <f ca="1">IF(AF83&lt;=VLOOKUP(D83,'power prob array'!$A:$M,6), VLOOKUP(Swords!BO83,Swords!$AS:$BB,10), "")</f>
        <v/>
      </c>
      <c r="L83" s="19" t="str">
        <f ca="1">IF(AG83&lt;=VLOOKUP(D83,'power prob array'!$A:$M,7), VLOOKUP(Swords!BP83,Swords!$AS:$BB,10), "")</f>
        <v/>
      </c>
      <c r="M83" s="19" t="str">
        <f t="shared" ca="1" si="26"/>
        <v>Yes</v>
      </c>
      <c r="N83" s="19" t="str">
        <f ca="1">IF(AI83&lt;=VLOOKUP(D83,'power prob array'!$A:$M,8), VLOOKUP(Swords!BQ83,Swords!$AS:$BC,11), "")</f>
        <v>Extra Damage</v>
      </c>
      <c r="O83" s="19" t="str">
        <f ca="1">IF(AJ83&lt;=VLOOKUP(D83,'power prob array'!$A:$M,9), VLOOKUP(Swords!BR83,Swords!$AS:$BC,11), "")</f>
        <v/>
      </c>
      <c r="P83" s="19" t="str">
        <f ca="1">IF(AK83&lt;=VLOOKUP(D83,'power prob array'!$A:$M,10), VLOOKUP(Swords!BS83,Swords!$AS:$BC,11), "")</f>
        <v/>
      </c>
      <c r="Q83" s="19" t="str">
        <f ca="1">IF(AL83&lt;=VLOOKUP(D83,'power prob array'!$A:$M,11), VLOOKUP(Swords!BT83,Swords!$AS:$BC,11), "")</f>
        <v/>
      </c>
      <c r="R83" s="19" t="str">
        <f ca="1">IF(AM83&lt;=VLOOKUP(D83,'power prob array'!$A:$M,12), VLOOKUP(Swords!BU83,Swords!$AS:$BC,11), "")</f>
        <v/>
      </c>
      <c r="S83" s="19" t="str">
        <f ca="1">IF(AN83&lt;=VLOOKUP(D83,'power prob array'!$A:$M,13), VLOOKUP(Swords!BV83,Swords!$AS:$BC,11), "")</f>
        <v/>
      </c>
      <c r="T83" s="18" t="str">
        <f t="shared" ca="1" si="31"/>
        <v>No</v>
      </c>
      <c r="U83" s="18" t="str" cm="1">
        <f t="array" aca="1" ref="U83" ca="1">_xlfn.IFS(T83="Talent", VLOOKUP(AP83,$AS:$BF,14), T83="No", "", 1=1, VLOOKUP(AP83,$AS:$BF,13))</f>
        <v/>
      </c>
      <c r="V83" s="1"/>
      <c r="W83" s="1"/>
      <c r="X83" s="1">
        <f t="shared" ca="1" si="33"/>
        <v>90</v>
      </c>
      <c r="Y83" s="1">
        <f t="shared" ca="1" si="33"/>
        <v>62</v>
      </c>
      <c r="Z83" s="1">
        <f t="shared" ca="1" si="33"/>
        <v>42</v>
      </c>
      <c r="AA83" s="1">
        <f t="shared" ca="1" si="33"/>
        <v>100</v>
      </c>
      <c r="AB83" s="1">
        <f t="shared" ca="1" si="33"/>
        <v>100</v>
      </c>
      <c r="AC83" s="1">
        <f t="shared" ca="1" si="33"/>
        <v>43</v>
      </c>
      <c r="AD83" s="1">
        <f t="shared" ca="1" si="33"/>
        <v>8</v>
      </c>
      <c r="AE83" s="1">
        <f t="shared" ca="1" si="33"/>
        <v>54</v>
      </c>
      <c r="AF83" s="1">
        <f t="shared" ca="1" si="33"/>
        <v>41</v>
      </c>
      <c r="AG83" s="1">
        <f t="shared" ca="1" si="33"/>
        <v>80</v>
      </c>
      <c r="AH83" s="1"/>
      <c r="AI83" s="1">
        <f t="shared" ca="1" si="33"/>
        <v>92</v>
      </c>
      <c r="AJ83" s="1">
        <f t="shared" ca="1" si="33"/>
        <v>37</v>
      </c>
      <c r="AK83" s="1">
        <f t="shared" ca="1" si="33"/>
        <v>54</v>
      </c>
      <c r="AL83" s="1">
        <f t="shared" ca="1" si="33"/>
        <v>14</v>
      </c>
      <c r="AM83" s="1">
        <f t="shared" ca="1" si="33"/>
        <v>38</v>
      </c>
      <c r="AN83" s="1">
        <f t="shared" ca="1" si="27"/>
        <v>58</v>
      </c>
      <c r="AO83" s="1">
        <f t="shared" ca="1" si="27"/>
        <v>54</v>
      </c>
      <c r="AP83" s="1">
        <f t="shared" ca="1" si="27"/>
        <v>54</v>
      </c>
      <c r="AQ83" s="1"/>
      <c r="AR83" s="1"/>
      <c r="AS83">
        <v>83</v>
      </c>
      <c r="AT83" t="s">
        <v>679</v>
      </c>
      <c r="AU83" s="9" t="s">
        <v>557</v>
      </c>
      <c r="AV83" s="9" t="s">
        <v>556</v>
      </c>
      <c r="AW83" s="9" t="s">
        <v>684</v>
      </c>
      <c r="AX83" s="9" t="s">
        <v>691</v>
      </c>
      <c r="AY83" s="16" t="s">
        <v>683</v>
      </c>
      <c r="AZ83" s="9" t="s">
        <v>690</v>
      </c>
      <c r="BA83" s="9" t="s">
        <v>695</v>
      </c>
      <c r="BB83" s="9" t="s">
        <v>463</v>
      </c>
      <c r="BC83" s="9" t="s">
        <v>716</v>
      </c>
      <c r="BD83" s="9" t="s">
        <v>593</v>
      </c>
      <c r="BE83" s="9" t="s">
        <v>646</v>
      </c>
      <c r="BF83" s="9" t="s">
        <v>662</v>
      </c>
      <c r="BK83" s="33">
        <f t="shared" ca="1" si="32"/>
        <v>84</v>
      </c>
      <c r="BL83" s="33">
        <f t="shared" ca="1" si="32"/>
        <v>100</v>
      </c>
      <c r="BM83" s="33">
        <f t="shared" ca="1" si="32"/>
        <v>13</v>
      </c>
      <c r="BN83" s="33">
        <f t="shared" ca="1" si="32"/>
        <v>28</v>
      </c>
      <c r="BO83" s="33">
        <f t="shared" ca="1" si="32"/>
        <v>38</v>
      </c>
      <c r="BP83" s="33">
        <f t="shared" ca="1" si="32"/>
        <v>48</v>
      </c>
      <c r="BQ83" s="33">
        <f t="shared" ca="1" si="32"/>
        <v>31</v>
      </c>
      <c r="BR83" s="33">
        <f t="shared" ca="1" si="32"/>
        <v>9</v>
      </c>
      <c r="BS83" s="33">
        <f t="shared" ca="1" si="32"/>
        <v>92</v>
      </c>
      <c r="BT83" s="33">
        <f t="shared" ca="1" si="32"/>
        <v>68</v>
      </c>
      <c r="BU83" s="33">
        <f t="shared" ca="1" si="32"/>
        <v>73</v>
      </c>
      <c r="BV83" s="33">
        <f t="shared" ca="1" si="32"/>
        <v>85</v>
      </c>
    </row>
    <row r="84" spans="1:76" s="33" customFormat="1" x14ac:dyDescent="0.3">
      <c r="A84" s="49">
        <v>83</v>
      </c>
      <c r="B84" s="18" t="str">
        <f t="shared" ca="1" si="21"/>
        <v>Normal</v>
      </c>
      <c r="C84" s="18" t="str">
        <f t="shared" ca="1" si="22"/>
        <v>+2</v>
      </c>
      <c r="D84" s="18">
        <f t="shared" ca="1" si="23"/>
        <v>0</v>
      </c>
      <c r="E84" s="18" t="str">
        <f t="shared" ca="1" si="24"/>
        <v>Nil</v>
      </c>
      <c r="F84" s="18" t="str">
        <f t="shared" ca="1" si="25"/>
        <v>Nil</v>
      </c>
      <c r="G84" s="18" t="str">
        <f ca="1">IF(AB84&lt;=VLOOKUP(D84,'power prob array'!$A:$M,2), VLOOKUP(Swords!BK84,Swords!$AS:$BB,10), "")</f>
        <v/>
      </c>
      <c r="H84" s="18" t="str">
        <f ca="1">IF(AC84&lt;=VLOOKUP(D84,'power prob array'!$A:$M,3), VLOOKUP(Swords!BL84,Swords!$AS:$BB,10), "")</f>
        <v/>
      </c>
      <c r="I84" s="18" t="str">
        <f ca="1">IF(AD84&lt;=VLOOKUP(D84,'power prob array'!$A:$M,4), VLOOKUP(Swords!BM84,Swords!$AS:$BB,10), "")</f>
        <v/>
      </c>
      <c r="J84" s="18" t="str">
        <f ca="1">IF(AE84&lt;=VLOOKUP(D84,'power prob array'!$A:$M,5), VLOOKUP(Swords!BN84,Swords!$AS:$BB,10), "")</f>
        <v/>
      </c>
      <c r="K84" s="18" t="str">
        <f ca="1">IF(AF84&lt;=VLOOKUP(D84,'power prob array'!$A:$M,6), VLOOKUP(Swords!BO84,Swords!$AS:$BB,10), "")</f>
        <v/>
      </c>
      <c r="L84" s="18" t="str">
        <f ca="1">IF(AG84&lt;=VLOOKUP(D84,'power prob array'!$A:$M,7), VLOOKUP(Swords!BP84,Swords!$AS:$BB,10), "")</f>
        <v/>
      </c>
      <c r="M84" s="18" t="str">
        <f t="shared" ca="1" si="26"/>
        <v>No</v>
      </c>
      <c r="N84" s="18" t="str">
        <f ca="1">IF(AI84&lt;=VLOOKUP(D84,'power prob array'!$A:$M,8), VLOOKUP(Swords!BQ84,Swords!$AS:$BC,11), "")</f>
        <v/>
      </c>
      <c r="O84" s="18" t="str">
        <f ca="1">IF(AJ84&lt;=VLOOKUP(D84,'power prob array'!$A:$M,9), VLOOKUP(Swords!BR84,Swords!$AS:$BC,11), "")</f>
        <v/>
      </c>
      <c r="P84" s="18" t="str">
        <f ca="1">IF(AK84&lt;=VLOOKUP(D84,'power prob array'!$A:$M,10), VLOOKUP(Swords!BS84,Swords!$AS:$BC,11), "")</f>
        <v/>
      </c>
      <c r="Q84" s="18" t="str">
        <f ca="1">IF(AL84&lt;=VLOOKUP(D84,'power prob array'!$A:$M,11), VLOOKUP(Swords!BT84,Swords!$AS:$BC,11), "")</f>
        <v/>
      </c>
      <c r="R84" s="18" t="str">
        <f ca="1">IF(AM84&lt;=VLOOKUP(D84,'power prob array'!$A:$M,12), VLOOKUP(Swords!BU84,Swords!$AS:$BC,11), "")</f>
        <v/>
      </c>
      <c r="S84" s="18" t="str">
        <f ca="1">IF(AN84&lt;=VLOOKUP(D84,'power prob array'!$A:$M,13), VLOOKUP(Swords!BV84,Swords!$AS:$BC,11), "")</f>
        <v/>
      </c>
      <c r="T84" s="18" t="str">
        <f t="shared" ca="1" si="31"/>
        <v>+3</v>
      </c>
      <c r="U84" s="18" t="str" cm="1">
        <f t="array" aca="1" ref="U84" ca="1">_xlfn.IFS(T84="Talent", VLOOKUP(AP84,$AS:$BF,14), T84="No", "", 1=1, VLOOKUP(AP84,$AS:$BF,13))</f>
        <v>Reptiles and Dinosaurs</v>
      </c>
      <c r="V84" s="1"/>
      <c r="W84" s="1"/>
      <c r="X84" s="1">
        <f t="shared" ca="1" si="33"/>
        <v>51</v>
      </c>
      <c r="Y84" s="1">
        <f t="shared" ca="1" si="33"/>
        <v>87</v>
      </c>
      <c r="Z84" s="1">
        <f t="shared" ca="1" si="33"/>
        <v>22</v>
      </c>
      <c r="AA84" s="1">
        <f t="shared" ca="1" si="33"/>
        <v>78</v>
      </c>
      <c r="AB84" s="1">
        <f t="shared" ca="1" si="33"/>
        <v>68</v>
      </c>
      <c r="AC84" s="1">
        <f t="shared" ca="1" si="33"/>
        <v>95</v>
      </c>
      <c r="AD84" s="1">
        <f t="shared" ca="1" si="33"/>
        <v>46</v>
      </c>
      <c r="AE84" s="1">
        <f t="shared" ca="1" si="33"/>
        <v>23</v>
      </c>
      <c r="AF84" s="1">
        <f t="shared" ca="1" si="33"/>
        <v>82</v>
      </c>
      <c r="AG84" s="1">
        <f t="shared" ca="1" si="33"/>
        <v>24</v>
      </c>
      <c r="AH84" s="1"/>
      <c r="AI84" s="1">
        <f t="shared" ca="1" si="33"/>
        <v>79</v>
      </c>
      <c r="AJ84" s="1">
        <f t="shared" ca="1" si="33"/>
        <v>4</v>
      </c>
      <c r="AK84" s="1">
        <f t="shared" ca="1" si="33"/>
        <v>96</v>
      </c>
      <c r="AL84" s="1">
        <f t="shared" ca="1" si="33"/>
        <v>20</v>
      </c>
      <c r="AM84" s="1">
        <f t="shared" ca="1" si="33"/>
        <v>9</v>
      </c>
      <c r="AN84" s="1">
        <f t="shared" ca="1" si="27"/>
        <v>8</v>
      </c>
      <c r="AO84" s="1">
        <f t="shared" ca="1" si="27"/>
        <v>22</v>
      </c>
      <c r="AP84" s="1">
        <f t="shared" ca="1" si="27"/>
        <v>64</v>
      </c>
      <c r="AQ84" s="1"/>
      <c r="AR84" s="1"/>
      <c r="AS84" s="33">
        <v>84</v>
      </c>
      <c r="AT84" s="33" t="s">
        <v>679</v>
      </c>
      <c r="AU84" s="34" t="s">
        <v>557</v>
      </c>
      <c r="AV84" s="34" t="s">
        <v>556</v>
      </c>
      <c r="AW84" s="34" t="s">
        <v>684</v>
      </c>
      <c r="AX84" s="34" t="s">
        <v>691</v>
      </c>
      <c r="AY84" s="35" t="s">
        <v>683</v>
      </c>
      <c r="AZ84" s="34" t="s">
        <v>690</v>
      </c>
      <c r="BA84" s="34" t="s">
        <v>695</v>
      </c>
      <c r="BB84" s="34" t="s">
        <v>463</v>
      </c>
      <c r="BC84" s="34" t="s">
        <v>716</v>
      </c>
      <c r="BD84" s="34" t="s">
        <v>593</v>
      </c>
      <c r="BE84" s="34" t="s">
        <v>646</v>
      </c>
      <c r="BF84" s="34" t="s">
        <v>662</v>
      </c>
      <c r="BK84" s="33">
        <f t="shared" ca="1" si="32"/>
        <v>2</v>
      </c>
      <c r="BL84" s="33">
        <f t="shared" ca="1" si="32"/>
        <v>68</v>
      </c>
      <c r="BM84" s="33">
        <f t="shared" ca="1" si="32"/>
        <v>49</v>
      </c>
      <c r="BN84" s="33">
        <f t="shared" ca="1" si="32"/>
        <v>13</v>
      </c>
      <c r="BO84" s="33">
        <f t="shared" ca="1" si="32"/>
        <v>70</v>
      </c>
      <c r="BP84" s="33">
        <f t="shared" ca="1" si="32"/>
        <v>38</v>
      </c>
      <c r="BQ84" s="33">
        <f t="shared" ca="1" si="32"/>
        <v>17</v>
      </c>
      <c r="BR84" s="33">
        <f t="shared" ca="1" si="32"/>
        <v>77</v>
      </c>
      <c r="BS84" s="33">
        <f t="shared" ca="1" si="32"/>
        <v>78</v>
      </c>
      <c r="BT84" s="33">
        <f t="shared" ca="1" si="32"/>
        <v>67</v>
      </c>
      <c r="BU84" s="33">
        <f t="shared" ca="1" si="32"/>
        <v>95</v>
      </c>
      <c r="BV84" s="33">
        <f t="shared" ca="1" si="32"/>
        <v>43</v>
      </c>
      <c r="BX84" s="36"/>
    </row>
    <row r="85" spans="1:76" x14ac:dyDescent="0.3">
      <c r="A85" s="49">
        <v>84</v>
      </c>
      <c r="B85" s="19" t="str">
        <f t="shared" ca="1" si="21"/>
        <v>Normal</v>
      </c>
      <c r="C85" s="19" t="str">
        <f t="shared" ca="1" si="22"/>
        <v>+1</v>
      </c>
      <c r="D85" s="19">
        <f t="shared" ca="1" si="23"/>
        <v>0</v>
      </c>
      <c r="E85" s="19" t="str">
        <f t="shared" ca="1" si="24"/>
        <v>Nil</v>
      </c>
      <c r="F85" s="19" t="str">
        <f t="shared" ca="1" si="25"/>
        <v>Nil</v>
      </c>
      <c r="G85" s="19" t="str">
        <f ca="1">IF(AB85&lt;=VLOOKUP(D85,'power prob array'!$A:$M,2), VLOOKUP(Swords!BK85,Swords!$AS:$BB,10), "")</f>
        <v/>
      </c>
      <c r="H85" s="19" t="str">
        <f ca="1">IF(AC85&lt;=VLOOKUP(D85,'power prob array'!$A:$M,3), VLOOKUP(Swords!BL85,Swords!$AS:$BB,10), "")</f>
        <v/>
      </c>
      <c r="I85" s="19" t="str">
        <f ca="1">IF(AD85&lt;=VLOOKUP(D85,'power prob array'!$A:$M,4), VLOOKUP(Swords!BM85,Swords!$AS:$BB,10), "")</f>
        <v/>
      </c>
      <c r="J85" s="19" t="str">
        <f ca="1">IF(AE85&lt;=VLOOKUP(D85,'power prob array'!$A:$M,5), VLOOKUP(Swords!BN85,Swords!$AS:$BB,10), "")</f>
        <v/>
      </c>
      <c r="K85" s="19" t="str">
        <f ca="1">IF(AF85&lt;=VLOOKUP(D85,'power prob array'!$A:$M,6), VLOOKUP(Swords!BO85,Swords!$AS:$BB,10), "")</f>
        <v/>
      </c>
      <c r="L85" s="19" t="str">
        <f ca="1">IF(AG85&lt;=VLOOKUP(D85,'power prob array'!$A:$M,7), VLOOKUP(Swords!BP85,Swords!$AS:$BB,10), "")</f>
        <v/>
      </c>
      <c r="M85" s="19" t="str">
        <f t="shared" ca="1" si="26"/>
        <v>No</v>
      </c>
      <c r="N85" s="19" t="str">
        <f ca="1">IF(AI85&lt;=VLOOKUP(D85,'power prob array'!$A:$M,8), VLOOKUP(Swords!BQ85,Swords!$AS:$BC,11), "")</f>
        <v/>
      </c>
      <c r="O85" s="19" t="str">
        <f ca="1">IF(AJ85&lt;=VLOOKUP(D85,'power prob array'!$A:$M,9), VLOOKUP(Swords!BR85,Swords!$AS:$BC,11), "")</f>
        <v/>
      </c>
      <c r="P85" s="19" t="str">
        <f ca="1">IF(AK85&lt;=VLOOKUP(D85,'power prob array'!$A:$M,10), VLOOKUP(Swords!BS85,Swords!$AS:$BC,11), "")</f>
        <v/>
      </c>
      <c r="Q85" s="19" t="str">
        <f ca="1">IF(AL85&lt;=VLOOKUP(D85,'power prob array'!$A:$M,11), VLOOKUP(Swords!BT85,Swords!$AS:$BC,11), "")</f>
        <v/>
      </c>
      <c r="R85" s="19" t="str">
        <f ca="1">IF(AM85&lt;=VLOOKUP(D85,'power prob array'!$A:$M,12), VLOOKUP(Swords!BU85,Swords!$AS:$BC,11), "")</f>
        <v/>
      </c>
      <c r="S85" s="19" t="str">
        <f ca="1">IF(AN85&lt;=VLOOKUP(D85,'power prob array'!$A:$M,13), VLOOKUP(Swords!BV85,Swords!$AS:$BC,11), "")</f>
        <v/>
      </c>
      <c r="T85" s="18" t="str">
        <f t="shared" ca="1" si="31"/>
        <v>No</v>
      </c>
      <c r="U85" s="18" t="str" cm="1">
        <f t="array" aca="1" ref="U85" ca="1">_xlfn.IFS(T85="Talent", VLOOKUP(AP85,$AS:$BF,14), T85="No", "", 1=1, VLOOKUP(AP85,$AS:$BF,13))</f>
        <v/>
      </c>
      <c r="V85" s="1"/>
      <c r="W85" s="1"/>
      <c r="X85" s="1">
        <f t="shared" ca="1" si="33"/>
        <v>25</v>
      </c>
      <c r="Y85" s="1">
        <f t="shared" ca="1" si="33"/>
        <v>16</v>
      </c>
      <c r="Z85" s="1">
        <f t="shared" ca="1" si="33"/>
        <v>47</v>
      </c>
      <c r="AA85" s="1">
        <f t="shared" ca="1" si="33"/>
        <v>34</v>
      </c>
      <c r="AB85" s="1">
        <f t="shared" ca="1" si="33"/>
        <v>34</v>
      </c>
      <c r="AC85" s="1">
        <f t="shared" ca="1" si="33"/>
        <v>63</v>
      </c>
      <c r="AD85" s="1">
        <f t="shared" ca="1" si="33"/>
        <v>52</v>
      </c>
      <c r="AE85" s="1">
        <f t="shared" ca="1" si="33"/>
        <v>43</v>
      </c>
      <c r="AF85" s="1">
        <f t="shared" ca="1" si="33"/>
        <v>17</v>
      </c>
      <c r="AG85" s="1">
        <f t="shared" ca="1" si="33"/>
        <v>45</v>
      </c>
      <c r="AH85" s="1"/>
      <c r="AI85" s="1">
        <f t="shared" ca="1" si="33"/>
        <v>37</v>
      </c>
      <c r="AJ85" s="1">
        <f t="shared" ca="1" si="33"/>
        <v>89</v>
      </c>
      <c r="AK85" s="1">
        <f t="shared" ca="1" si="33"/>
        <v>45</v>
      </c>
      <c r="AL85" s="1">
        <f t="shared" ca="1" si="33"/>
        <v>54</v>
      </c>
      <c r="AM85" s="1">
        <f t="shared" ca="1" si="33"/>
        <v>24</v>
      </c>
      <c r="AN85" s="1">
        <f t="shared" ca="1" si="27"/>
        <v>39</v>
      </c>
      <c r="AO85" s="1">
        <f t="shared" ca="1" si="27"/>
        <v>54</v>
      </c>
      <c r="AP85" s="1">
        <f t="shared" ca="1" si="27"/>
        <v>70</v>
      </c>
      <c r="AQ85" s="1"/>
      <c r="AR85" s="1"/>
      <c r="AS85">
        <v>85</v>
      </c>
      <c r="AT85" t="s">
        <v>680</v>
      </c>
      <c r="AU85" s="9" t="s">
        <v>557</v>
      </c>
      <c r="AV85" s="9" t="s">
        <v>556</v>
      </c>
      <c r="AW85" s="9" t="s">
        <v>684</v>
      </c>
      <c r="AX85" s="9" t="s">
        <v>691</v>
      </c>
      <c r="AY85" s="16" t="s">
        <v>683</v>
      </c>
      <c r="AZ85" s="9" t="s">
        <v>690</v>
      </c>
      <c r="BA85" s="9" t="s">
        <v>695</v>
      </c>
      <c r="BB85" s="9" t="s">
        <v>463</v>
      </c>
      <c r="BC85" s="9" t="s">
        <v>716</v>
      </c>
      <c r="BD85" s="9" t="s">
        <v>593</v>
      </c>
      <c r="BE85" s="9" t="s">
        <v>646</v>
      </c>
      <c r="BF85" s="9" t="s">
        <v>662</v>
      </c>
      <c r="BK85" s="33">
        <f t="shared" ca="1" si="32"/>
        <v>92</v>
      </c>
      <c r="BL85" s="33">
        <f t="shared" ca="1" si="32"/>
        <v>10</v>
      </c>
      <c r="BM85" s="33">
        <f t="shared" ca="1" si="32"/>
        <v>41</v>
      </c>
      <c r="BN85" s="33">
        <f t="shared" ca="1" si="32"/>
        <v>48</v>
      </c>
      <c r="BO85" s="33">
        <f t="shared" ca="1" si="32"/>
        <v>11</v>
      </c>
      <c r="BP85" s="33">
        <f t="shared" ca="1" si="32"/>
        <v>8</v>
      </c>
      <c r="BQ85" s="33">
        <f t="shared" ca="1" si="32"/>
        <v>12</v>
      </c>
      <c r="BR85" s="33">
        <f t="shared" ca="1" si="32"/>
        <v>13</v>
      </c>
      <c r="BS85" s="33">
        <f t="shared" ca="1" si="32"/>
        <v>100</v>
      </c>
      <c r="BT85" s="33">
        <f t="shared" ca="1" si="32"/>
        <v>66</v>
      </c>
      <c r="BU85" s="33">
        <f t="shared" ca="1" si="32"/>
        <v>100</v>
      </c>
      <c r="BV85" s="33">
        <f t="shared" ca="1" si="32"/>
        <v>9</v>
      </c>
    </row>
    <row r="86" spans="1:76" s="33" customFormat="1" x14ac:dyDescent="0.3">
      <c r="A86" s="49">
        <v>85</v>
      </c>
      <c r="B86" s="18" t="str">
        <f t="shared" ca="1" si="21"/>
        <v>Normal</v>
      </c>
      <c r="C86" s="18" t="str">
        <f t="shared" ca="1" si="22"/>
        <v>+4</v>
      </c>
      <c r="D86" s="18">
        <f t="shared" ca="1" si="23"/>
        <v>0</v>
      </c>
      <c r="E86" s="18" t="str">
        <f t="shared" ca="1" si="24"/>
        <v>Nil</v>
      </c>
      <c r="F86" s="18" t="str">
        <f t="shared" ca="1" si="25"/>
        <v>Nil</v>
      </c>
      <c r="G86" s="18" t="str">
        <f ca="1">IF(AB86&lt;=VLOOKUP(D86,'power prob array'!$A:$M,2), VLOOKUP(Swords!BK86,Swords!$AS:$BB,10), "")</f>
        <v/>
      </c>
      <c r="H86" s="18" t="str">
        <f ca="1">IF(AC86&lt;=VLOOKUP(D86,'power prob array'!$A:$M,3), VLOOKUP(Swords!BL86,Swords!$AS:$BB,10), "")</f>
        <v/>
      </c>
      <c r="I86" s="18" t="str">
        <f ca="1">IF(AD86&lt;=VLOOKUP(D86,'power prob array'!$A:$M,4), VLOOKUP(Swords!BM86,Swords!$AS:$BB,10), "")</f>
        <v/>
      </c>
      <c r="J86" s="18" t="str">
        <f ca="1">IF(AE86&lt;=VLOOKUP(D86,'power prob array'!$A:$M,5), VLOOKUP(Swords!BN86,Swords!$AS:$BB,10), "")</f>
        <v/>
      </c>
      <c r="K86" s="18" t="str">
        <f ca="1">IF(AF86&lt;=VLOOKUP(D86,'power prob array'!$A:$M,6), VLOOKUP(Swords!BO86,Swords!$AS:$BB,10), "")</f>
        <v/>
      </c>
      <c r="L86" s="18" t="str">
        <f ca="1">IF(AG86&lt;=VLOOKUP(D86,'power prob array'!$A:$M,7), VLOOKUP(Swords!BP86,Swords!$AS:$BB,10), "")</f>
        <v/>
      </c>
      <c r="M86" s="18" t="str">
        <f t="shared" ca="1" si="26"/>
        <v>No</v>
      </c>
      <c r="N86" s="18" t="str">
        <f ca="1">IF(AI86&lt;=VLOOKUP(D86,'power prob array'!$A:$M,8), VLOOKUP(Swords!BQ86,Swords!$AS:$BC,11), "")</f>
        <v/>
      </c>
      <c r="O86" s="18" t="str">
        <f ca="1">IF(AJ86&lt;=VLOOKUP(D86,'power prob array'!$A:$M,9), VLOOKUP(Swords!BR86,Swords!$AS:$BC,11), "")</f>
        <v/>
      </c>
      <c r="P86" s="18" t="str">
        <f ca="1">IF(AK86&lt;=VLOOKUP(D86,'power prob array'!$A:$M,10), VLOOKUP(Swords!BS86,Swords!$AS:$BC,11), "")</f>
        <v/>
      </c>
      <c r="Q86" s="18" t="str">
        <f ca="1">IF(AL86&lt;=VLOOKUP(D86,'power prob array'!$A:$M,11), VLOOKUP(Swords!BT86,Swords!$AS:$BC,11), "")</f>
        <v/>
      </c>
      <c r="R86" s="18" t="str">
        <f ca="1">IF(AM86&lt;=VLOOKUP(D86,'power prob array'!$A:$M,12), VLOOKUP(Swords!BU86,Swords!$AS:$BC,11), "")</f>
        <v/>
      </c>
      <c r="S86" s="18" t="str">
        <f ca="1">IF(AN86&lt;=VLOOKUP(D86,'power prob array'!$A:$M,13), VLOOKUP(Swords!BV86,Swords!$AS:$BC,11), "")</f>
        <v/>
      </c>
      <c r="T86" s="18" t="str">
        <f t="shared" ca="1" si="31"/>
        <v>No</v>
      </c>
      <c r="U86" s="18" t="str" cm="1">
        <f t="array" aca="1" ref="U86" ca="1">_xlfn.IFS(T86="Talent", VLOOKUP(AP86,$AS:$BF,14), T86="No", "", 1=1, VLOOKUP(AP86,$AS:$BF,13))</f>
        <v/>
      </c>
      <c r="V86" s="1"/>
      <c r="W86" s="1"/>
      <c r="X86" s="1">
        <f t="shared" ca="1" si="33"/>
        <v>59</v>
      </c>
      <c r="Y86" s="1">
        <f t="shared" ca="1" si="33"/>
        <v>97</v>
      </c>
      <c r="Z86" s="1">
        <f t="shared" ca="1" si="33"/>
        <v>1</v>
      </c>
      <c r="AA86" s="1">
        <f t="shared" ca="1" si="33"/>
        <v>54</v>
      </c>
      <c r="AB86" s="1">
        <f t="shared" ca="1" si="33"/>
        <v>54</v>
      </c>
      <c r="AC86" s="1">
        <f t="shared" ca="1" si="33"/>
        <v>26</v>
      </c>
      <c r="AD86" s="1">
        <f t="shared" ca="1" si="33"/>
        <v>70</v>
      </c>
      <c r="AE86" s="1">
        <f t="shared" ca="1" si="33"/>
        <v>57</v>
      </c>
      <c r="AF86" s="1">
        <f t="shared" ca="1" si="33"/>
        <v>11</v>
      </c>
      <c r="AG86" s="1">
        <f t="shared" ca="1" si="33"/>
        <v>21</v>
      </c>
      <c r="AH86" s="1"/>
      <c r="AI86" s="1">
        <f t="shared" ca="1" si="33"/>
        <v>27</v>
      </c>
      <c r="AJ86" s="1">
        <f t="shared" ca="1" si="33"/>
        <v>45</v>
      </c>
      <c r="AK86" s="1">
        <f t="shared" ca="1" si="33"/>
        <v>77</v>
      </c>
      <c r="AL86" s="1">
        <f t="shared" ca="1" si="33"/>
        <v>1</v>
      </c>
      <c r="AM86" s="1">
        <f t="shared" ca="1" si="33"/>
        <v>50</v>
      </c>
      <c r="AN86" s="1">
        <f t="shared" ca="1" si="27"/>
        <v>30</v>
      </c>
      <c r="AO86" s="1">
        <f t="shared" ca="1" si="27"/>
        <v>97</v>
      </c>
      <c r="AP86" s="1">
        <f t="shared" ca="1" si="27"/>
        <v>30</v>
      </c>
      <c r="AQ86" s="1"/>
      <c r="AR86" s="1"/>
      <c r="AS86" s="33">
        <v>86</v>
      </c>
      <c r="AT86" s="33" t="s">
        <v>680</v>
      </c>
      <c r="AU86" s="34" t="s">
        <v>557</v>
      </c>
      <c r="AV86" s="34" t="s">
        <v>556</v>
      </c>
      <c r="AW86" s="34" t="s">
        <v>685</v>
      </c>
      <c r="AX86" s="34" t="s">
        <v>691</v>
      </c>
      <c r="AY86" s="35" t="s">
        <v>683</v>
      </c>
      <c r="AZ86" s="34" t="s">
        <v>693</v>
      </c>
      <c r="BA86" s="34" t="s">
        <v>695</v>
      </c>
      <c r="BB86" s="34" t="s">
        <v>702</v>
      </c>
      <c r="BC86" s="34" t="s">
        <v>716</v>
      </c>
      <c r="BD86" s="34" t="s">
        <v>593</v>
      </c>
      <c r="BE86" s="34" t="s">
        <v>646</v>
      </c>
      <c r="BF86" s="34" t="s">
        <v>663</v>
      </c>
      <c r="BK86" s="33">
        <f t="shared" ca="1" si="32"/>
        <v>6</v>
      </c>
      <c r="BL86" s="33">
        <f t="shared" ca="1" si="32"/>
        <v>4</v>
      </c>
      <c r="BM86" s="33">
        <f t="shared" ca="1" si="32"/>
        <v>7</v>
      </c>
      <c r="BN86" s="33">
        <f t="shared" ca="1" si="32"/>
        <v>92</v>
      </c>
      <c r="BO86" s="33">
        <f t="shared" ca="1" si="32"/>
        <v>77</v>
      </c>
      <c r="BP86" s="33">
        <f t="shared" ca="1" si="32"/>
        <v>10</v>
      </c>
      <c r="BQ86" s="33">
        <f t="shared" ca="1" si="32"/>
        <v>91</v>
      </c>
      <c r="BR86" s="33">
        <f t="shared" ca="1" si="32"/>
        <v>11</v>
      </c>
      <c r="BS86" s="33">
        <f t="shared" ca="1" si="32"/>
        <v>80</v>
      </c>
      <c r="BT86" s="33">
        <f t="shared" ca="1" si="32"/>
        <v>22</v>
      </c>
      <c r="BU86" s="33">
        <f t="shared" ca="1" si="32"/>
        <v>80</v>
      </c>
      <c r="BV86" s="33">
        <f t="shared" ca="1" si="32"/>
        <v>6</v>
      </c>
      <c r="BX86" s="36"/>
    </row>
    <row r="87" spans="1:76" x14ac:dyDescent="0.3">
      <c r="A87" s="49">
        <v>86</v>
      </c>
      <c r="B87" s="19" t="str">
        <f t="shared" ca="1" si="21"/>
        <v>Short</v>
      </c>
      <c r="C87" s="19" t="str">
        <f t="shared" ca="1" si="22"/>
        <v>+1</v>
      </c>
      <c r="D87" s="19">
        <f t="shared" ca="1" si="23"/>
        <v>0</v>
      </c>
      <c r="E87" s="19" t="str">
        <f t="shared" ca="1" si="24"/>
        <v>Nil</v>
      </c>
      <c r="F87" s="19" t="str">
        <f t="shared" ca="1" si="25"/>
        <v>Nil</v>
      </c>
      <c r="G87" s="19" t="str">
        <f ca="1">IF(AB87&lt;=VLOOKUP(D87,'power prob array'!$A:$M,2), VLOOKUP(Swords!BK87,Swords!$AS:$BB,10), "")</f>
        <v/>
      </c>
      <c r="H87" s="19" t="str">
        <f ca="1">IF(AC87&lt;=VLOOKUP(D87,'power prob array'!$A:$M,3), VLOOKUP(Swords!BL87,Swords!$AS:$BB,10), "")</f>
        <v/>
      </c>
      <c r="I87" s="19" t="str">
        <f ca="1">IF(AD87&lt;=VLOOKUP(D87,'power prob array'!$A:$M,4), VLOOKUP(Swords!BM87,Swords!$AS:$BB,10), "")</f>
        <v/>
      </c>
      <c r="J87" s="19" t="str">
        <f ca="1">IF(AE87&lt;=VLOOKUP(D87,'power prob array'!$A:$M,5), VLOOKUP(Swords!BN87,Swords!$AS:$BB,10), "")</f>
        <v/>
      </c>
      <c r="K87" s="19" t="str">
        <f ca="1">IF(AF87&lt;=VLOOKUP(D87,'power prob array'!$A:$M,6), VLOOKUP(Swords!BO87,Swords!$AS:$BB,10), "")</f>
        <v/>
      </c>
      <c r="L87" s="19" t="str">
        <f ca="1">IF(AG87&lt;=VLOOKUP(D87,'power prob array'!$A:$M,7), VLOOKUP(Swords!BP87,Swords!$AS:$BB,10), "")</f>
        <v/>
      </c>
      <c r="M87" s="19" t="str">
        <f t="shared" ca="1" si="26"/>
        <v>No</v>
      </c>
      <c r="N87" s="19" t="str">
        <f ca="1">IF(AI87&lt;=VLOOKUP(D87,'power prob array'!$A:$M,8), VLOOKUP(Swords!BQ87,Swords!$AS:$BC,11), "")</f>
        <v/>
      </c>
      <c r="O87" s="19" t="str">
        <f ca="1">IF(AJ87&lt;=VLOOKUP(D87,'power prob array'!$A:$M,9), VLOOKUP(Swords!BR87,Swords!$AS:$BC,11), "")</f>
        <v/>
      </c>
      <c r="P87" s="19" t="str">
        <f ca="1">IF(AK87&lt;=VLOOKUP(D87,'power prob array'!$A:$M,10), VLOOKUP(Swords!BS87,Swords!$AS:$BC,11), "")</f>
        <v/>
      </c>
      <c r="Q87" s="19" t="str">
        <f ca="1">IF(AL87&lt;=VLOOKUP(D87,'power prob array'!$A:$M,11), VLOOKUP(Swords!BT87,Swords!$AS:$BC,11), "")</f>
        <v/>
      </c>
      <c r="R87" s="19" t="str">
        <f ca="1">IF(AM87&lt;=VLOOKUP(D87,'power prob array'!$A:$M,12), VLOOKUP(Swords!BU87,Swords!$AS:$BC,11), "")</f>
        <v/>
      </c>
      <c r="S87" s="19" t="str">
        <f ca="1">IF(AN87&lt;=VLOOKUP(D87,'power prob array'!$A:$M,13), VLOOKUP(Swords!BV87,Swords!$AS:$BC,11), "")</f>
        <v/>
      </c>
      <c r="T87" s="18" t="str">
        <f t="shared" ca="1" si="31"/>
        <v>No</v>
      </c>
      <c r="U87" s="18" t="str" cm="1">
        <f t="array" aca="1" ref="U87" ca="1">_xlfn.IFS(T87="Talent", VLOOKUP(AP87,$AS:$BF,14), T87="No", "", 1=1, VLOOKUP(AP87,$AS:$BF,13))</f>
        <v/>
      </c>
      <c r="V87" s="1"/>
      <c r="W87" s="1"/>
      <c r="X87" s="1">
        <f t="shared" ca="1" si="33"/>
        <v>83</v>
      </c>
      <c r="Y87" s="1">
        <f t="shared" ca="1" si="33"/>
        <v>24</v>
      </c>
      <c r="Z87" s="1">
        <f t="shared" ca="1" si="33"/>
        <v>96</v>
      </c>
      <c r="AA87" s="1">
        <f t="shared" ca="1" si="33"/>
        <v>74</v>
      </c>
      <c r="AB87" s="1">
        <f t="shared" ca="1" si="33"/>
        <v>2</v>
      </c>
      <c r="AC87" s="1">
        <f t="shared" ca="1" si="33"/>
        <v>96</v>
      </c>
      <c r="AD87" s="1">
        <f t="shared" ca="1" si="33"/>
        <v>17</v>
      </c>
      <c r="AE87" s="1">
        <f t="shared" ca="1" si="33"/>
        <v>40</v>
      </c>
      <c r="AF87" s="1">
        <f t="shared" ca="1" si="33"/>
        <v>54</v>
      </c>
      <c r="AG87" s="1">
        <f t="shared" ca="1" si="33"/>
        <v>46</v>
      </c>
      <c r="AH87" s="1"/>
      <c r="AI87" s="1">
        <f t="shared" ca="1" si="33"/>
        <v>57</v>
      </c>
      <c r="AJ87" s="1">
        <f t="shared" ca="1" si="33"/>
        <v>98</v>
      </c>
      <c r="AK87" s="1">
        <f t="shared" ca="1" si="33"/>
        <v>29</v>
      </c>
      <c r="AL87" s="1">
        <f t="shared" ca="1" si="33"/>
        <v>76</v>
      </c>
      <c r="AM87" s="1">
        <f t="shared" ca="1" si="33"/>
        <v>12</v>
      </c>
      <c r="AN87" s="1">
        <f t="shared" ca="1" si="27"/>
        <v>100</v>
      </c>
      <c r="AO87" s="1">
        <f t="shared" ca="1" si="27"/>
        <v>76</v>
      </c>
      <c r="AP87" s="1">
        <f t="shared" ca="1" si="27"/>
        <v>10</v>
      </c>
      <c r="AQ87" s="1"/>
      <c r="AR87" s="1"/>
      <c r="AS87">
        <v>87</v>
      </c>
      <c r="AT87" t="s">
        <v>680</v>
      </c>
      <c r="AU87" s="9" t="s">
        <v>557</v>
      </c>
      <c r="AV87" s="9" t="s">
        <v>556</v>
      </c>
      <c r="AW87" s="9" t="s">
        <v>685</v>
      </c>
      <c r="AX87" s="9" t="s">
        <v>691</v>
      </c>
      <c r="AY87" s="16" t="s">
        <v>683</v>
      </c>
      <c r="AZ87" s="9" t="s">
        <v>693</v>
      </c>
      <c r="BA87" s="9" t="s">
        <v>695</v>
      </c>
      <c r="BB87" s="9" t="s">
        <v>702</v>
      </c>
      <c r="BC87" s="9" t="s">
        <v>716</v>
      </c>
      <c r="BD87" s="9" t="s">
        <v>593</v>
      </c>
      <c r="BE87" s="9" t="s">
        <v>646</v>
      </c>
      <c r="BF87" s="9" t="s">
        <v>663</v>
      </c>
      <c r="BK87" s="33">
        <f t="shared" ca="1" si="32"/>
        <v>93</v>
      </c>
      <c r="BL87" s="33">
        <f t="shared" ca="1" si="32"/>
        <v>75</v>
      </c>
      <c r="BM87" s="33">
        <f t="shared" ca="1" si="32"/>
        <v>51</v>
      </c>
      <c r="BN87" s="33">
        <f t="shared" ca="1" si="32"/>
        <v>50</v>
      </c>
      <c r="BO87" s="33">
        <f t="shared" ca="1" si="32"/>
        <v>46</v>
      </c>
      <c r="BP87" s="33">
        <f t="shared" ca="1" si="32"/>
        <v>98</v>
      </c>
      <c r="BQ87" s="33">
        <f t="shared" ca="1" si="32"/>
        <v>22</v>
      </c>
      <c r="BR87" s="33">
        <f t="shared" ca="1" si="32"/>
        <v>15</v>
      </c>
      <c r="BS87" s="33">
        <f t="shared" ca="1" si="32"/>
        <v>77</v>
      </c>
      <c r="BT87" s="33">
        <f t="shared" ca="1" si="32"/>
        <v>74</v>
      </c>
      <c r="BU87" s="33">
        <f t="shared" ca="1" si="32"/>
        <v>47</v>
      </c>
      <c r="BV87" s="33">
        <f t="shared" ca="1" si="32"/>
        <v>49</v>
      </c>
    </row>
    <row r="88" spans="1:76" s="33" customFormat="1" x14ac:dyDescent="0.3">
      <c r="A88" s="49">
        <v>87</v>
      </c>
      <c r="B88" s="18" t="str">
        <f t="shared" ca="1" si="21"/>
        <v>Normal</v>
      </c>
      <c r="C88" s="18" t="str">
        <f t="shared" ca="1" si="22"/>
        <v>+1</v>
      </c>
      <c r="D88" s="18">
        <f t="shared" ca="1" si="23"/>
        <v>0</v>
      </c>
      <c r="E88" s="18" t="str">
        <f t="shared" ca="1" si="24"/>
        <v>Nil</v>
      </c>
      <c r="F88" s="18" t="str">
        <f t="shared" ca="1" si="25"/>
        <v>Nil</v>
      </c>
      <c r="G88" s="18" t="str">
        <f ca="1">IF(AB88&lt;=VLOOKUP(D88,'power prob array'!$A:$M,2), VLOOKUP(Swords!BK88,Swords!$AS:$BB,10), "")</f>
        <v/>
      </c>
      <c r="H88" s="18" t="str">
        <f ca="1">IF(AC88&lt;=VLOOKUP(D88,'power prob array'!$A:$M,3), VLOOKUP(Swords!BL88,Swords!$AS:$BB,10), "")</f>
        <v/>
      </c>
      <c r="I88" s="18" t="str">
        <f ca="1">IF(AD88&lt;=VLOOKUP(D88,'power prob array'!$A:$M,4), VLOOKUP(Swords!BM88,Swords!$AS:$BB,10), "")</f>
        <v/>
      </c>
      <c r="J88" s="18" t="str">
        <f ca="1">IF(AE88&lt;=VLOOKUP(D88,'power prob array'!$A:$M,5), VLOOKUP(Swords!BN88,Swords!$AS:$BB,10), "")</f>
        <v/>
      </c>
      <c r="K88" s="18" t="str">
        <f ca="1">IF(AF88&lt;=VLOOKUP(D88,'power prob array'!$A:$M,6), VLOOKUP(Swords!BO88,Swords!$AS:$BB,10), "")</f>
        <v/>
      </c>
      <c r="L88" s="18" t="str">
        <f ca="1">IF(AG88&lt;=VLOOKUP(D88,'power prob array'!$A:$M,7), VLOOKUP(Swords!BP88,Swords!$AS:$BB,10), "")</f>
        <v/>
      </c>
      <c r="M88" s="18" t="str">
        <f t="shared" ca="1" si="26"/>
        <v>No</v>
      </c>
      <c r="N88" s="18" t="str">
        <f ca="1">IF(AI88&lt;=VLOOKUP(D88,'power prob array'!$A:$M,8), VLOOKUP(Swords!BQ88,Swords!$AS:$BC,11), "")</f>
        <v/>
      </c>
      <c r="O88" s="18" t="str">
        <f ca="1">IF(AJ88&lt;=VLOOKUP(D88,'power prob array'!$A:$M,9), VLOOKUP(Swords!BR88,Swords!$AS:$BC,11), "")</f>
        <v/>
      </c>
      <c r="P88" s="18" t="str">
        <f ca="1">IF(AK88&lt;=VLOOKUP(D88,'power prob array'!$A:$M,10), VLOOKUP(Swords!BS88,Swords!$AS:$BC,11), "")</f>
        <v/>
      </c>
      <c r="Q88" s="18" t="str">
        <f ca="1">IF(AL88&lt;=VLOOKUP(D88,'power prob array'!$A:$M,11), VLOOKUP(Swords!BT88,Swords!$AS:$BC,11), "")</f>
        <v/>
      </c>
      <c r="R88" s="18" t="str">
        <f ca="1">IF(AM88&lt;=VLOOKUP(D88,'power prob array'!$A:$M,12), VLOOKUP(Swords!BU88,Swords!$AS:$BC,11), "")</f>
        <v/>
      </c>
      <c r="S88" s="18" t="str">
        <f ca="1">IF(AN88&lt;=VLOOKUP(D88,'power prob array'!$A:$M,13), VLOOKUP(Swords!BV88,Swords!$AS:$BC,11), "")</f>
        <v/>
      </c>
      <c r="T88" s="18" t="str">
        <f t="shared" ca="1" si="31"/>
        <v>No</v>
      </c>
      <c r="U88" s="18" t="str" cm="1">
        <f t="array" aca="1" ref="U88" ca="1">_xlfn.IFS(T88="Talent", VLOOKUP(AP88,$AS:$BF,14), T88="No", "", 1=1, VLOOKUP(AP88,$AS:$BF,13))</f>
        <v/>
      </c>
      <c r="V88" s="1"/>
      <c r="W88" s="1"/>
      <c r="X88" s="1">
        <f t="shared" ca="1" si="33"/>
        <v>30</v>
      </c>
      <c r="Y88" s="1">
        <f t="shared" ca="1" si="33"/>
        <v>55</v>
      </c>
      <c r="Z88" s="1">
        <f t="shared" ca="1" si="33"/>
        <v>65</v>
      </c>
      <c r="AA88" s="1">
        <f t="shared" ca="1" si="33"/>
        <v>66</v>
      </c>
      <c r="AB88" s="1">
        <f t="shared" ca="1" si="33"/>
        <v>47</v>
      </c>
      <c r="AC88" s="1">
        <f t="shared" ca="1" si="33"/>
        <v>74</v>
      </c>
      <c r="AD88" s="1">
        <f t="shared" ca="1" si="33"/>
        <v>73</v>
      </c>
      <c r="AE88" s="1">
        <f t="shared" ca="1" si="33"/>
        <v>70</v>
      </c>
      <c r="AF88" s="1">
        <f t="shared" ca="1" si="33"/>
        <v>93</v>
      </c>
      <c r="AG88" s="1">
        <f t="shared" ca="1" si="33"/>
        <v>37</v>
      </c>
      <c r="AH88" s="1"/>
      <c r="AI88" s="1">
        <f t="shared" ca="1" si="33"/>
        <v>98</v>
      </c>
      <c r="AJ88" s="1">
        <f t="shared" ca="1" si="33"/>
        <v>41</v>
      </c>
      <c r="AK88" s="1">
        <f t="shared" ca="1" si="33"/>
        <v>97</v>
      </c>
      <c r="AL88" s="1">
        <f t="shared" ca="1" si="33"/>
        <v>42</v>
      </c>
      <c r="AM88" s="1">
        <f t="shared" ca="1" si="33"/>
        <v>46</v>
      </c>
      <c r="AN88" s="1">
        <f t="shared" ca="1" si="27"/>
        <v>54</v>
      </c>
      <c r="AO88" s="1">
        <f t="shared" ca="1" si="27"/>
        <v>74</v>
      </c>
      <c r="AP88" s="1">
        <f t="shared" ca="1" si="27"/>
        <v>2</v>
      </c>
      <c r="AQ88" s="1"/>
      <c r="AR88" s="1"/>
      <c r="AS88" s="33">
        <v>88</v>
      </c>
      <c r="AT88" s="33" t="s">
        <v>680</v>
      </c>
      <c r="AU88" s="34" t="s">
        <v>557</v>
      </c>
      <c r="AV88" s="34" t="s">
        <v>556</v>
      </c>
      <c r="AW88" s="34" t="s">
        <v>685</v>
      </c>
      <c r="AX88" s="34" t="s">
        <v>691</v>
      </c>
      <c r="AY88" s="35" t="s">
        <v>683</v>
      </c>
      <c r="AZ88" s="34" t="s">
        <v>693</v>
      </c>
      <c r="BA88" s="34" t="s">
        <v>695</v>
      </c>
      <c r="BB88" s="34" t="s">
        <v>702</v>
      </c>
      <c r="BC88" s="34" t="s">
        <v>716</v>
      </c>
      <c r="BD88" s="34" t="s">
        <v>593</v>
      </c>
      <c r="BE88" s="34" t="s">
        <v>646</v>
      </c>
      <c r="BF88" s="34" t="s">
        <v>663</v>
      </c>
      <c r="BK88" s="33">
        <f t="shared" ca="1" si="32"/>
        <v>15</v>
      </c>
      <c r="BL88" s="33">
        <f t="shared" ca="1" si="32"/>
        <v>3</v>
      </c>
      <c r="BM88" s="33">
        <f t="shared" ca="1" si="32"/>
        <v>84</v>
      </c>
      <c r="BN88" s="33">
        <f t="shared" ca="1" si="32"/>
        <v>20</v>
      </c>
      <c r="BO88" s="33">
        <f t="shared" ca="1" si="32"/>
        <v>27</v>
      </c>
      <c r="BP88" s="33">
        <f t="shared" ca="1" si="32"/>
        <v>73</v>
      </c>
      <c r="BQ88" s="33">
        <f t="shared" ca="1" si="32"/>
        <v>82</v>
      </c>
      <c r="BR88" s="33">
        <f t="shared" ca="1" si="32"/>
        <v>6</v>
      </c>
      <c r="BS88" s="33">
        <f t="shared" ca="1" si="32"/>
        <v>58</v>
      </c>
      <c r="BT88" s="33">
        <f t="shared" ca="1" si="32"/>
        <v>84</v>
      </c>
      <c r="BU88" s="33">
        <f t="shared" ca="1" si="32"/>
        <v>16</v>
      </c>
      <c r="BV88" s="33">
        <f t="shared" ca="1" si="32"/>
        <v>98</v>
      </c>
      <c r="BX88" s="36"/>
    </row>
    <row r="89" spans="1:76" x14ac:dyDescent="0.3">
      <c r="A89" s="49">
        <v>88</v>
      </c>
      <c r="B89" s="19" t="str">
        <f t="shared" ca="1" si="21"/>
        <v>Normal</v>
      </c>
      <c r="C89" s="19" t="str">
        <f t="shared" ca="1" si="22"/>
        <v>+4</v>
      </c>
      <c r="D89" s="19">
        <f t="shared" ca="1" si="23"/>
        <v>0</v>
      </c>
      <c r="E89" s="19" t="str">
        <f t="shared" ca="1" si="24"/>
        <v>Nil</v>
      </c>
      <c r="F89" s="19" t="str">
        <f t="shared" ca="1" si="25"/>
        <v>Nil</v>
      </c>
      <c r="G89" s="19" t="str">
        <f ca="1">IF(AB89&lt;=VLOOKUP(D89,'power prob array'!$A:$M,2), VLOOKUP(Swords!BK89,Swords!$AS:$BB,10), "")</f>
        <v/>
      </c>
      <c r="H89" s="19" t="str">
        <f ca="1">IF(AC89&lt;=VLOOKUP(D89,'power prob array'!$A:$M,3), VLOOKUP(Swords!BL89,Swords!$AS:$BB,10), "")</f>
        <v/>
      </c>
      <c r="I89" s="19" t="str">
        <f ca="1">IF(AD89&lt;=VLOOKUP(D89,'power prob array'!$A:$M,4), VLOOKUP(Swords!BM89,Swords!$AS:$BB,10), "")</f>
        <v/>
      </c>
      <c r="J89" s="19" t="str">
        <f ca="1">IF(AE89&lt;=VLOOKUP(D89,'power prob array'!$A:$M,5), VLOOKUP(Swords!BN89,Swords!$AS:$BB,10), "")</f>
        <v/>
      </c>
      <c r="K89" s="19" t="str">
        <f ca="1">IF(AF89&lt;=VLOOKUP(D89,'power prob array'!$A:$M,6), VLOOKUP(Swords!BO89,Swords!$AS:$BB,10), "")</f>
        <v/>
      </c>
      <c r="L89" s="19" t="str">
        <f ca="1">IF(AG89&lt;=VLOOKUP(D89,'power prob array'!$A:$M,7), VLOOKUP(Swords!BP89,Swords!$AS:$BB,10), "")</f>
        <v/>
      </c>
      <c r="M89" s="19" t="str">
        <f t="shared" ca="1" si="26"/>
        <v>No</v>
      </c>
      <c r="N89" s="19" t="str">
        <f ca="1">IF(AI89&lt;=VLOOKUP(D89,'power prob array'!$A:$M,8), VLOOKUP(Swords!BQ89,Swords!$AS:$BC,11), "")</f>
        <v/>
      </c>
      <c r="O89" s="19" t="str">
        <f ca="1">IF(AJ89&lt;=VLOOKUP(D89,'power prob array'!$A:$M,9), VLOOKUP(Swords!BR89,Swords!$AS:$BC,11), "")</f>
        <v/>
      </c>
      <c r="P89" s="19" t="str">
        <f ca="1">IF(AK89&lt;=VLOOKUP(D89,'power prob array'!$A:$M,10), VLOOKUP(Swords!BS89,Swords!$AS:$BC,11), "")</f>
        <v/>
      </c>
      <c r="Q89" s="19" t="str">
        <f ca="1">IF(AL89&lt;=VLOOKUP(D89,'power prob array'!$A:$M,11), VLOOKUP(Swords!BT89,Swords!$AS:$BC,11), "")</f>
        <v/>
      </c>
      <c r="R89" s="19" t="str">
        <f ca="1">IF(AM89&lt;=VLOOKUP(D89,'power prob array'!$A:$M,12), VLOOKUP(Swords!BU89,Swords!$AS:$BC,11), "")</f>
        <v/>
      </c>
      <c r="S89" s="19" t="str">
        <f ca="1">IF(AN89&lt;=VLOOKUP(D89,'power prob array'!$A:$M,13), VLOOKUP(Swords!BV89,Swords!$AS:$BC,11), "")</f>
        <v/>
      </c>
      <c r="T89" s="18" t="str">
        <f t="shared" ca="1" si="31"/>
        <v>No</v>
      </c>
      <c r="U89" s="18" t="str" cm="1">
        <f t="array" aca="1" ref="U89" ca="1">_xlfn.IFS(T89="Talent", VLOOKUP(AP89,$AS:$BF,14), T89="No", "", 1=1, VLOOKUP(AP89,$AS:$BF,13))</f>
        <v/>
      </c>
      <c r="V89" s="1"/>
      <c r="W89" s="1"/>
      <c r="X89" s="1">
        <f t="shared" ca="1" si="33"/>
        <v>37</v>
      </c>
      <c r="Y89" s="1">
        <f t="shared" ca="1" si="33"/>
        <v>97</v>
      </c>
      <c r="Z89" s="1">
        <f t="shared" ca="1" si="33"/>
        <v>38</v>
      </c>
      <c r="AA89" s="1">
        <f t="shared" ca="1" si="33"/>
        <v>45</v>
      </c>
      <c r="AB89" s="1">
        <f t="shared" ca="1" si="33"/>
        <v>69</v>
      </c>
      <c r="AC89" s="1">
        <f t="shared" ca="1" si="33"/>
        <v>64</v>
      </c>
      <c r="AD89" s="1">
        <f t="shared" ca="1" si="33"/>
        <v>36</v>
      </c>
      <c r="AE89" s="1">
        <f t="shared" ca="1" si="33"/>
        <v>93</v>
      </c>
      <c r="AF89" s="1">
        <f t="shared" ca="1" si="33"/>
        <v>27</v>
      </c>
      <c r="AG89" s="1">
        <f t="shared" ca="1" si="33"/>
        <v>57</v>
      </c>
      <c r="AH89" s="1"/>
      <c r="AI89" s="1">
        <f t="shared" ca="1" si="33"/>
        <v>40</v>
      </c>
      <c r="AJ89" s="1">
        <f t="shared" ca="1" si="33"/>
        <v>2</v>
      </c>
      <c r="AK89" s="1">
        <f t="shared" ca="1" si="33"/>
        <v>49</v>
      </c>
      <c r="AL89" s="1">
        <f t="shared" ca="1" si="33"/>
        <v>1</v>
      </c>
      <c r="AM89" s="1">
        <f t="shared" ca="1" si="33"/>
        <v>40</v>
      </c>
      <c r="AN89" s="1">
        <f t="shared" ca="1" si="27"/>
        <v>83</v>
      </c>
      <c r="AO89" s="1">
        <f t="shared" ca="1" si="27"/>
        <v>88</v>
      </c>
      <c r="AP89" s="1">
        <f t="shared" ca="1" si="27"/>
        <v>47</v>
      </c>
      <c r="AQ89" s="1"/>
      <c r="AR89" s="1"/>
      <c r="AS89">
        <v>89</v>
      </c>
      <c r="AT89" t="s">
        <v>680</v>
      </c>
      <c r="AU89" s="9" t="s">
        <v>557</v>
      </c>
      <c r="AV89" s="9" t="s">
        <v>557</v>
      </c>
      <c r="AW89" s="9" t="s">
        <v>685</v>
      </c>
      <c r="AX89" s="9" t="s">
        <v>691</v>
      </c>
      <c r="AY89" s="16" t="s">
        <v>683</v>
      </c>
      <c r="AZ89" s="9" t="s">
        <v>693</v>
      </c>
      <c r="BA89" s="9" t="s">
        <v>695</v>
      </c>
      <c r="BB89" s="9" t="s">
        <v>702</v>
      </c>
      <c r="BC89" s="9" t="s">
        <v>717</v>
      </c>
      <c r="BD89" s="9" t="s">
        <v>593</v>
      </c>
      <c r="BE89" s="9" t="s">
        <v>647</v>
      </c>
      <c r="BF89" s="9" t="s">
        <v>663</v>
      </c>
      <c r="BK89" s="33">
        <f t="shared" ca="1" si="32"/>
        <v>66</v>
      </c>
      <c r="BL89" s="33">
        <f t="shared" ca="1" si="32"/>
        <v>63</v>
      </c>
      <c r="BM89" s="33">
        <f t="shared" ca="1" si="32"/>
        <v>61</v>
      </c>
      <c r="BN89" s="33">
        <f t="shared" ref="BK89:BV100" ca="1" si="34">RANDBETWEEN(1,100)</f>
        <v>11</v>
      </c>
      <c r="BO89" s="33">
        <f t="shared" ca="1" si="34"/>
        <v>14</v>
      </c>
      <c r="BP89" s="33">
        <f t="shared" ca="1" si="34"/>
        <v>39</v>
      </c>
      <c r="BQ89" s="33">
        <f t="shared" ca="1" si="34"/>
        <v>7</v>
      </c>
      <c r="BR89" s="33">
        <f t="shared" ca="1" si="34"/>
        <v>13</v>
      </c>
      <c r="BS89" s="33">
        <f t="shared" ca="1" si="34"/>
        <v>72</v>
      </c>
      <c r="BT89" s="33">
        <f t="shared" ca="1" si="34"/>
        <v>78</v>
      </c>
      <c r="BU89" s="33">
        <f t="shared" ca="1" si="34"/>
        <v>30</v>
      </c>
      <c r="BV89" s="33">
        <f t="shared" ca="1" si="34"/>
        <v>96</v>
      </c>
    </row>
    <row r="90" spans="1:76" s="33" customFormat="1" x14ac:dyDescent="0.3">
      <c r="A90" s="49">
        <v>89</v>
      </c>
      <c r="B90" s="18" t="str">
        <f t="shared" ca="1" si="21"/>
        <v>Bastard</v>
      </c>
      <c r="C90" s="18" t="str">
        <f t="shared" ca="1" si="22"/>
        <v>+2</v>
      </c>
      <c r="D90" s="18">
        <f t="shared" ca="1" si="23"/>
        <v>0</v>
      </c>
      <c r="E90" s="18" t="str">
        <f t="shared" ca="1" si="24"/>
        <v>Nil</v>
      </c>
      <c r="F90" s="18" t="str">
        <f t="shared" ca="1" si="25"/>
        <v>Nil</v>
      </c>
      <c r="G90" s="18" t="str">
        <f ca="1">IF(AB90&lt;=VLOOKUP(D90,'power prob array'!$A:$M,2), VLOOKUP(Swords!BK90,Swords!$AS:$BB,10), "")</f>
        <v/>
      </c>
      <c r="H90" s="18" t="str">
        <f ca="1">IF(AC90&lt;=VLOOKUP(D90,'power prob array'!$A:$M,3), VLOOKUP(Swords!BL90,Swords!$AS:$BB,10), "")</f>
        <v/>
      </c>
      <c r="I90" s="18" t="str">
        <f ca="1">IF(AD90&lt;=VLOOKUP(D90,'power prob array'!$A:$M,4), VLOOKUP(Swords!BM90,Swords!$AS:$BB,10), "")</f>
        <v/>
      </c>
      <c r="J90" s="18" t="str">
        <f ca="1">IF(AE90&lt;=VLOOKUP(D90,'power prob array'!$A:$M,5), VLOOKUP(Swords!BN90,Swords!$AS:$BB,10), "")</f>
        <v/>
      </c>
      <c r="K90" s="18" t="str">
        <f ca="1">IF(AF90&lt;=VLOOKUP(D90,'power prob array'!$A:$M,6), VLOOKUP(Swords!BO90,Swords!$AS:$BB,10), "")</f>
        <v/>
      </c>
      <c r="L90" s="18" t="str">
        <f ca="1">IF(AG90&lt;=VLOOKUP(D90,'power prob array'!$A:$M,7), VLOOKUP(Swords!BP90,Swords!$AS:$BB,10), "")</f>
        <v/>
      </c>
      <c r="M90" s="18" t="str">
        <f t="shared" ca="1" si="26"/>
        <v>No</v>
      </c>
      <c r="N90" s="18" t="str">
        <f ca="1">IF(AI90&lt;=VLOOKUP(D90,'power prob array'!$A:$M,8), VLOOKUP(Swords!BQ90,Swords!$AS:$BC,11), "")</f>
        <v/>
      </c>
      <c r="O90" s="18" t="str">
        <f ca="1">IF(AJ90&lt;=VLOOKUP(D90,'power prob array'!$A:$M,9), VLOOKUP(Swords!BR90,Swords!$AS:$BC,11), "")</f>
        <v/>
      </c>
      <c r="P90" s="18" t="str">
        <f ca="1">IF(AK90&lt;=VLOOKUP(D90,'power prob array'!$A:$M,10), VLOOKUP(Swords!BS90,Swords!$AS:$BC,11), "")</f>
        <v/>
      </c>
      <c r="Q90" s="18" t="str">
        <f ca="1">IF(AL90&lt;=VLOOKUP(D90,'power prob array'!$A:$M,11), VLOOKUP(Swords!BT90,Swords!$AS:$BC,11), "")</f>
        <v/>
      </c>
      <c r="R90" s="18" t="str">
        <f ca="1">IF(AM90&lt;=VLOOKUP(D90,'power prob array'!$A:$M,12), VLOOKUP(Swords!BU90,Swords!$AS:$BC,11), "")</f>
        <v/>
      </c>
      <c r="S90" s="18" t="str">
        <f ca="1">IF(AN90&lt;=VLOOKUP(D90,'power prob array'!$A:$M,13), VLOOKUP(Swords!BV90,Swords!$AS:$BC,11), "")</f>
        <v/>
      </c>
      <c r="T90" s="18" t="str">
        <f t="shared" ca="1" si="31"/>
        <v>No</v>
      </c>
      <c r="U90" s="18" t="str" cm="1">
        <f t="array" aca="1" ref="U90" ca="1">_xlfn.IFS(T90="Talent", VLOOKUP(AP90,$AS:$BF,14), T90="No", "", 1=1, VLOOKUP(AP90,$AS:$BF,13))</f>
        <v/>
      </c>
      <c r="V90" s="1"/>
      <c r="W90" s="1"/>
      <c r="X90" s="1">
        <f t="shared" ca="1" si="33"/>
        <v>93</v>
      </c>
      <c r="Y90" s="1">
        <f t="shared" ca="1" si="33"/>
        <v>81</v>
      </c>
      <c r="Z90" s="1">
        <f t="shared" ca="1" si="33"/>
        <v>77</v>
      </c>
      <c r="AA90" s="1">
        <f t="shared" ca="1" si="33"/>
        <v>31</v>
      </c>
      <c r="AB90" s="1">
        <f t="shared" ca="1" si="33"/>
        <v>98</v>
      </c>
      <c r="AC90" s="1">
        <f t="shared" ca="1" si="33"/>
        <v>50</v>
      </c>
      <c r="AD90" s="1">
        <f t="shared" ca="1" si="33"/>
        <v>49</v>
      </c>
      <c r="AE90" s="1">
        <f t="shared" ca="1" si="33"/>
        <v>91</v>
      </c>
      <c r="AF90" s="1">
        <f t="shared" ca="1" si="33"/>
        <v>26</v>
      </c>
      <c r="AG90" s="1">
        <f t="shared" ca="1" si="33"/>
        <v>40</v>
      </c>
      <c r="AH90" s="1"/>
      <c r="AI90" s="1">
        <f t="shared" ca="1" si="33"/>
        <v>60</v>
      </c>
      <c r="AJ90" s="1">
        <f t="shared" ca="1" si="33"/>
        <v>25</v>
      </c>
      <c r="AK90" s="1">
        <f t="shared" ca="1" si="33"/>
        <v>30</v>
      </c>
      <c r="AL90" s="1">
        <f t="shared" ca="1" si="33"/>
        <v>52</v>
      </c>
      <c r="AM90" s="1">
        <f t="shared" ca="1" si="33"/>
        <v>60</v>
      </c>
      <c r="AN90" s="1">
        <f t="shared" ca="1" si="27"/>
        <v>60</v>
      </c>
      <c r="AO90" s="1">
        <f t="shared" ca="1" si="27"/>
        <v>95</v>
      </c>
      <c r="AP90" s="1">
        <f t="shared" ca="1" si="27"/>
        <v>26</v>
      </c>
      <c r="AQ90" s="1"/>
      <c r="AR90" s="1"/>
      <c r="AS90" s="33">
        <v>90</v>
      </c>
      <c r="AT90" s="33" t="s">
        <v>680</v>
      </c>
      <c r="AU90" s="34" t="s">
        <v>557</v>
      </c>
      <c r="AV90" s="34" t="s">
        <v>557</v>
      </c>
      <c r="AW90" s="34" t="s">
        <v>685</v>
      </c>
      <c r="AX90" s="34" t="s">
        <v>691</v>
      </c>
      <c r="AY90" s="35" t="s">
        <v>683</v>
      </c>
      <c r="AZ90" s="34" t="s">
        <v>693</v>
      </c>
      <c r="BA90" s="34" t="s">
        <v>695</v>
      </c>
      <c r="BB90" s="34" t="s">
        <v>702</v>
      </c>
      <c r="BC90" s="34" t="s">
        <v>717</v>
      </c>
      <c r="BD90" s="34" t="s">
        <v>593</v>
      </c>
      <c r="BE90" s="34" t="s">
        <v>647</v>
      </c>
      <c r="BF90" s="34" t="s">
        <v>664</v>
      </c>
      <c r="BK90" s="33">
        <f t="shared" ca="1" si="34"/>
        <v>33</v>
      </c>
      <c r="BL90" s="33">
        <f t="shared" ca="1" si="34"/>
        <v>94</v>
      </c>
      <c r="BM90" s="33">
        <f t="shared" ca="1" si="34"/>
        <v>54</v>
      </c>
      <c r="BN90" s="33">
        <f t="shared" ca="1" si="34"/>
        <v>83</v>
      </c>
      <c r="BO90" s="33">
        <f t="shared" ca="1" si="34"/>
        <v>30</v>
      </c>
      <c r="BP90" s="33">
        <f t="shared" ca="1" si="34"/>
        <v>80</v>
      </c>
      <c r="BQ90" s="33">
        <f t="shared" ca="1" si="34"/>
        <v>67</v>
      </c>
      <c r="BR90" s="33">
        <f t="shared" ca="1" si="34"/>
        <v>72</v>
      </c>
      <c r="BS90" s="33">
        <f t="shared" ca="1" si="34"/>
        <v>25</v>
      </c>
      <c r="BT90" s="33">
        <f t="shared" ca="1" si="34"/>
        <v>71</v>
      </c>
      <c r="BU90" s="33">
        <f t="shared" ca="1" si="34"/>
        <v>98</v>
      </c>
      <c r="BV90" s="33">
        <f t="shared" ca="1" si="34"/>
        <v>15</v>
      </c>
      <c r="BX90" s="36"/>
    </row>
    <row r="91" spans="1:76" x14ac:dyDescent="0.3">
      <c r="A91" s="49">
        <v>90</v>
      </c>
      <c r="B91" s="19" t="str">
        <f t="shared" ca="1" si="21"/>
        <v>Bastard</v>
      </c>
      <c r="C91" s="19" t="str">
        <f t="shared" ca="1" si="22"/>
        <v>+2</v>
      </c>
      <c r="D91" s="19">
        <f t="shared" ca="1" si="23"/>
        <v>0</v>
      </c>
      <c r="E91" s="19" t="str">
        <f t="shared" ca="1" si="24"/>
        <v>Nil</v>
      </c>
      <c r="F91" s="19" t="str">
        <f t="shared" ca="1" si="25"/>
        <v>Nil</v>
      </c>
      <c r="G91" s="19" t="str">
        <f ca="1">IF(AB91&lt;=VLOOKUP(D91,'power prob array'!$A:$M,2), VLOOKUP(Swords!BK91,Swords!$AS:$BB,10), "")</f>
        <v/>
      </c>
      <c r="H91" s="19" t="str">
        <f ca="1">IF(AC91&lt;=VLOOKUP(D91,'power prob array'!$A:$M,3), VLOOKUP(Swords!BL91,Swords!$AS:$BB,10), "")</f>
        <v/>
      </c>
      <c r="I91" s="19" t="str">
        <f ca="1">IF(AD91&lt;=VLOOKUP(D91,'power prob array'!$A:$M,4), VLOOKUP(Swords!BM91,Swords!$AS:$BB,10), "")</f>
        <v/>
      </c>
      <c r="J91" s="19" t="str">
        <f ca="1">IF(AE91&lt;=VLOOKUP(D91,'power prob array'!$A:$M,5), VLOOKUP(Swords!BN91,Swords!$AS:$BB,10), "")</f>
        <v/>
      </c>
      <c r="K91" s="19" t="str">
        <f ca="1">IF(AF91&lt;=VLOOKUP(D91,'power prob array'!$A:$M,6), VLOOKUP(Swords!BO91,Swords!$AS:$BB,10), "")</f>
        <v/>
      </c>
      <c r="L91" s="19" t="str">
        <f ca="1">IF(AG91&lt;=VLOOKUP(D91,'power prob array'!$A:$M,7), VLOOKUP(Swords!BP91,Swords!$AS:$BB,10), "")</f>
        <v/>
      </c>
      <c r="M91" s="19" t="str">
        <f t="shared" ca="1" si="26"/>
        <v>No</v>
      </c>
      <c r="N91" s="19" t="str">
        <f ca="1">IF(AI91&lt;=VLOOKUP(D91,'power prob array'!$A:$M,8), VLOOKUP(Swords!BQ91,Swords!$AS:$BC,11), "")</f>
        <v/>
      </c>
      <c r="O91" s="19" t="str">
        <f ca="1">IF(AJ91&lt;=VLOOKUP(D91,'power prob array'!$A:$M,9), VLOOKUP(Swords!BR91,Swords!$AS:$BC,11), "")</f>
        <v/>
      </c>
      <c r="P91" s="19" t="str">
        <f ca="1">IF(AK91&lt;=VLOOKUP(D91,'power prob array'!$A:$M,10), VLOOKUP(Swords!BS91,Swords!$AS:$BC,11), "")</f>
        <v/>
      </c>
      <c r="Q91" s="19" t="str">
        <f ca="1">IF(AL91&lt;=VLOOKUP(D91,'power prob array'!$A:$M,11), VLOOKUP(Swords!BT91,Swords!$AS:$BC,11), "")</f>
        <v/>
      </c>
      <c r="R91" s="19" t="str">
        <f ca="1">IF(AM91&lt;=VLOOKUP(D91,'power prob array'!$A:$M,12), VLOOKUP(Swords!BU91,Swords!$AS:$BC,11), "")</f>
        <v/>
      </c>
      <c r="S91" s="19" t="str">
        <f ca="1">IF(AN91&lt;=VLOOKUP(D91,'power prob array'!$A:$M,13), VLOOKUP(Swords!BV91,Swords!$AS:$BC,11), "")</f>
        <v/>
      </c>
      <c r="T91" s="18" t="str">
        <f t="shared" ca="1" si="31"/>
        <v>+1</v>
      </c>
      <c r="U91" s="18" t="str" cm="1">
        <f t="array" aca="1" ref="U91" ca="1">_xlfn.IFS(T91="Talent", VLOOKUP(AP91,$AS:$BF,14), T91="No", "", 1=1, VLOOKUP(AP91,$AS:$BF,13))</f>
        <v>Bugs</v>
      </c>
      <c r="V91" s="1"/>
      <c r="W91" s="1"/>
      <c r="X91" s="1">
        <f t="shared" ca="1" si="33"/>
        <v>96</v>
      </c>
      <c r="Y91" s="1">
        <f t="shared" ca="1" si="33"/>
        <v>86</v>
      </c>
      <c r="Z91" s="1">
        <f t="shared" ca="1" si="33"/>
        <v>60</v>
      </c>
      <c r="AA91" s="1">
        <f t="shared" ca="1" si="33"/>
        <v>50</v>
      </c>
      <c r="AB91" s="1">
        <f t="shared" ca="1" si="33"/>
        <v>38</v>
      </c>
      <c r="AC91" s="1">
        <f t="shared" ca="1" si="33"/>
        <v>87</v>
      </c>
      <c r="AD91" s="1">
        <f t="shared" ca="1" si="33"/>
        <v>52</v>
      </c>
      <c r="AE91" s="1">
        <f t="shared" ca="1" si="33"/>
        <v>92</v>
      </c>
      <c r="AF91" s="1">
        <f t="shared" ca="1" si="33"/>
        <v>82</v>
      </c>
      <c r="AG91" s="1">
        <f t="shared" ca="1" si="33"/>
        <v>59</v>
      </c>
      <c r="AH91" s="1"/>
      <c r="AI91" s="1">
        <f t="shared" ca="1" si="33"/>
        <v>9</v>
      </c>
      <c r="AJ91" s="1">
        <f t="shared" ca="1" si="33"/>
        <v>95</v>
      </c>
      <c r="AK91" s="1">
        <f t="shared" ca="1" si="33"/>
        <v>34</v>
      </c>
      <c r="AL91" s="1">
        <f t="shared" ca="1" si="33"/>
        <v>3</v>
      </c>
      <c r="AM91" s="1">
        <f t="shared" ca="1" si="33"/>
        <v>47</v>
      </c>
      <c r="AN91" s="1">
        <f t="shared" ca="1" si="27"/>
        <v>60</v>
      </c>
      <c r="AO91" s="1">
        <f t="shared" ca="1" si="27"/>
        <v>26</v>
      </c>
      <c r="AP91" s="1">
        <f t="shared" ca="1" si="27"/>
        <v>3</v>
      </c>
      <c r="AQ91" s="1"/>
      <c r="AR91" s="1"/>
      <c r="AS91">
        <v>91</v>
      </c>
      <c r="AT91" t="s">
        <v>680</v>
      </c>
      <c r="AU91" s="9" t="s">
        <v>557</v>
      </c>
      <c r="AV91" s="9" t="s">
        <v>557</v>
      </c>
      <c r="AW91" s="9" t="s">
        <v>686</v>
      </c>
      <c r="AX91" s="9" t="s">
        <v>691</v>
      </c>
      <c r="AY91" s="16" t="s">
        <v>683</v>
      </c>
      <c r="AZ91" s="9" t="s">
        <v>694</v>
      </c>
      <c r="BA91" s="9" t="s">
        <v>695</v>
      </c>
      <c r="BB91" s="9" t="s">
        <v>702</v>
      </c>
      <c r="BC91" s="9" t="s">
        <v>717</v>
      </c>
      <c r="BD91" s="9" t="s">
        <v>593</v>
      </c>
      <c r="BE91" s="9" t="s">
        <v>647</v>
      </c>
      <c r="BF91" s="9" t="s">
        <v>664</v>
      </c>
      <c r="BK91" s="33">
        <f t="shared" ca="1" si="34"/>
        <v>93</v>
      </c>
      <c r="BL91" s="33">
        <f t="shared" ca="1" si="34"/>
        <v>81</v>
      </c>
      <c r="BM91" s="33">
        <f t="shared" ca="1" si="34"/>
        <v>70</v>
      </c>
      <c r="BN91" s="33">
        <f t="shared" ca="1" si="34"/>
        <v>80</v>
      </c>
      <c r="BO91" s="33">
        <f t="shared" ca="1" si="34"/>
        <v>13</v>
      </c>
      <c r="BP91" s="33">
        <f t="shared" ca="1" si="34"/>
        <v>17</v>
      </c>
      <c r="BQ91" s="33">
        <f t="shared" ca="1" si="34"/>
        <v>95</v>
      </c>
      <c r="BR91" s="33">
        <f t="shared" ca="1" si="34"/>
        <v>55</v>
      </c>
      <c r="BS91" s="33">
        <f t="shared" ca="1" si="34"/>
        <v>57</v>
      </c>
      <c r="BT91" s="33">
        <f t="shared" ca="1" si="34"/>
        <v>97</v>
      </c>
      <c r="BU91" s="33">
        <f t="shared" ca="1" si="34"/>
        <v>35</v>
      </c>
      <c r="BV91" s="33">
        <f t="shared" ca="1" si="34"/>
        <v>32</v>
      </c>
    </row>
    <row r="92" spans="1:76" s="33" customFormat="1" x14ac:dyDescent="0.3">
      <c r="A92" s="49">
        <v>91</v>
      </c>
      <c r="B92" s="18" t="str">
        <f t="shared" ca="1" si="21"/>
        <v>Short</v>
      </c>
      <c r="C92" s="18" t="str">
        <f t="shared" ca="1" si="22"/>
        <v>+1</v>
      </c>
      <c r="D92" s="18">
        <f t="shared" ca="1" si="23"/>
        <v>0</v>
      </c>
      <c r="E92" s="18" t="str">
        <f t="shared" ca="1" si="24"/>
        <v>Nil</v>
      </c>
      <c r="F92" s="18" t="str">
        <f t="shared" ca="1" si="25"/>
        <v>Nil</v>
      </c>
      <c r="G92" s="18" t="str">
        <f ca="1">IF(AB92&lt;=VLOOKUP(D92,'power prob array'!$A:$M,2), VLOOKUP(Swords!BK92,Swords!$AS:$BB,10), "")</f>
        <v/>
      </c>
      <c r="H92" s="18" t="str">
        <f ca="1">IF(AC92&lt;=VLOOKUP(D92,'power prob array'!$A:$M,3), VLOOKUP(Swords!BL92,Swords!$AS:$BB,10), "")</f>
        <v/>
      </c>
      <c r="I92" s="18" t="str">
        <f ca="1">IF(AD92&lt;=VLOOKUP(D92,'power prob array'!$A:$M,4), VLOOKUP(Swords!BM92,Swords!$AS:$BB,10), "")</f>
        <v/>
      </c>
      <c r="J92" s="18" t="str">
        <f ca="1">IF(AE92&lt;=VLOOKUP(D92,'power prob array'!$A:$M,5), VLOOKUP(Swords!BN92,Swords!$AS:$BB,10), "")</f>
        <v/>
      </c>
      <c r="K92" s="18" t="str">
        <f ca="1">IF(AF92&lt;=VLOOKUP(D92,'power prob array'!$A:$M,6), VLOOKUP(Swords!BO92,Swords!$AS:$BB,10), "")</f>
        <v/>
      </c>
      <c r="L92" s="18" t="str">
        <f ca="1">IF(AG92&lt;=VLOOKUP(D92,'power prob array'!$A:$M,7), VLOOKUP(Swords!BP92,Swords!$AS:$BB,10), "")</f>
        <v/>
      </c>
      <c r="M92" s="18" t="str">
        <f t="shared" ca="1" si="26"/>
        <v>No</v>
      </c>
      <c r="N92" s="18" t="str">
        <f ca="1">IF(AI92&lt;=VLOOKUP(D92,'power prob array'!$A:$M,8), VLOOKUP(Swords!BQ92,Swords!$AS:$BC,11), "")</f>
        <v/>
      </c>
      <c r="O92" s="18" t="str">
        <f ca="1">IF(AJ92&lt;=VLOOKUP(D92,'power prob array'!$A:$M,9), VLOOKUP(Swords!BR92,Swords!$AS:$BC,11), "")</f>
        <v/>
      </c>
      <c r="P92" s="18" t="str">
        <f ca="1">IF(AK92&lt;=VLOOKUP(D92,'power prob array'!$A:$M,10), VLOOKUP(Swords!BS92,Swords!$AS:$BC,11), "")</f>
        <v/>
      </c>
      <c r="Q92" s="18" t="str">
        <f ca="1">IF(AL92&lt;=VLOOKUP(D92,'power prob array'!$A:$M,11), VLOOKUP(Swords!BT92,Swords!$AS:$BC,11), "")</f>
        <v/>
      </c>
      <c r="R92" s="18" t="str">
        <f ca="1">IF(AM92&lt;=VLOOKUP(D92,'power prob array'!$A:$M,12), VLOOKUP(Swords!BU92,Swords!$AS:$BC,11), "")</f>
        <v/>
      </c>
      <c r="S92" s="18" t="str">
        <f ca="1">IF(AN92&lt;=VLOOKUP(D92,'power prob array'!$A:$M,13), VLOOKUP(Swords!BV92,Swords!$AS:$BC,11), "")</f>
        <v/>
      </c>
      <c r="T92" s="18" t="str">
        <f t="shared" ca="1" si="31"/>
        <v>No</v>
      </c>
      <c r="U92" s="18" t="str" cm="1">
        <f t="array" aca="1" ref="U92" ca="1">_xlfn.IFS(T92="Talent", VLOOKUP(AP92,$AS:$BF,14), T92="No", "", 1=1, VLOOKUP(AP92,$AS:$BF,13))</f>
        <v/>
      </c>
      <c r="V92" s="1"/>
      <c r="W92" s="1"/>
      <c r="X92" s="1">
        <f t="shared" ca="1" si="33"/>
        <v>78</v>
      </c>
      <c r="Y92" s="1">
        <f t="shared" ca="1" si="33"/>
        <v>6</v>
      </c>
      <c r="Z92" s="1">
        <f t="shared" ca="1" si="33"/>
        <v>91</v>
      </c>
      <c r="AA92" s="1">
        <f t="shared" ca="1" si="33"/>
        <v>51</v>
      </c>
      <c r="AB92" s="1">
        <f t="shared" ca="1" si="33"/>
        <v>45</v>
      </c>
      <c r="AC92" s="1">
        <f t="shared" ca="1" si="33"/>
        <v>24</v>
      </c>
      <c r="AD92" s="1">
        <f t="shared" ca="1" si="33"/>
        <v>13</v>
      </c>
      <c r="AE92" s="1">
        <f t="shared" ca="1" si="33"/>
        <v>86</v>
      </c>
      <c r="AF92" s="1">
        <f t="shared" ca="1" si="33"/>
        <v>32</v>
      </c>
      <c r="AG92" s="1">
        <f t="shared" ca="1" si="33"/>
        <v>30</v>
      </c>
      <c r="AH92" s="1"/>
      <c r="AI92" s="1">
        <f t="shared" ca="1" si="33"/>
        <v>100</v>
      </c>
      <c r="AJ92" s="1">
        <f t="shared" ca="1" si="33"/>
        <v>75</v>
      </c>
      <c r="AK92" s="1">
        <f t="shared" ca="1" si="33"/>
        <v>75</v>
      </c>
      <c r="AL92" s="1">
        <f t="shared" ca="1" si="33"/>
        <v>90</v>
      </c>
      <c r="AM92" s="1">
        <f t="shared" ca="1" si="33"/>
        <v>48</v>
      </c>
      <c r="AN92" s="1">
        <f t="shared" ca="1" si="27"/>
        <v>90</v>
      </c>
      <c r="AO92" s="1">
        <f t="shared" ca="1" si="27"/>
        <v>71</v>
      </c>
      <c r="AP92" s="1">
        <f t="shared" ca="1" si="27"/>
        <v>97</v>
      </c>
      <c r="AQ92" s="1"/>
      <c r="AR92" s="1"/>
      <c r="AS92" s="33">
        <v>92</v>
      </c>
      <c r="AT92" s="33" t="s">
        <v>680</v>
      </c>
      <c r="AU92" s="34" t="s">
        <v>557</v>
      </c>
      <c r="AV92" s="34" t="s">
        <v>557</v>
      </c>
      <c r="AW92" s="34" t="s">
        <v>686</v>
      </c>
      <c r="AX92" s="34" t="s">
        <v>691</v>
      </c>
      <c r="AY92" s="35" t="s">
        <v>683</v>
      </c>
      <c r="AZ92" s="34" t="s">
        <v>694</v>
      </c>
      <c r="BA92" s="34" t="s">
        <v>695</v>
      </c>
      <c r="BB92" s="34" t="s">
        <v>702</v>
      </c>
      <c r="BC92" s="34" t="s">
        <v>717</v>
      </c>
      <c r="BD92" s="34" t="s">
        <v>593</v>
      </c>
      <c r="BE92" s="34" t="s">
        <v>647</v>
      </c>
      <c r="BF92" s="34" t="s">
        <v>664</v>
      </c>
      <c r="BK92" s="33">
        <f t="shared" ca="1" si="34"/>
        <v>81</v>
      </c>
      <c r="BL92" s="33">
        <f t="shared" ca="1" si="34"/>
        <v>70</v>
      </c>
      <c r="BM92" s="33">
        <f t="shared" ca="1" si="34"/>
        <v>19</v>
      </c>
      <c r="BN92" s="33">
        <f t="shared" ca="1" si="34"/>
        <v>60</v>
      </c>
      <c r="BO92" s="33">
        <f t="shared" ca="1" si="34"/>
        <v>81</v>
      </c>
      <c r="BP92" s="33">
        <f t="shared" ca="1" si="34"/>
        <v>34</v>
      </c>
      <c r="BQ92" s="33">
        <f t="shared" ca="1" si="34"/>
        <v>46</v>
      </c>
      <c r="BR92" s="33">
        <f t="shared" ca="1" si="34"/>
        <v>94</v>
      </c>
      <c r="BS92" s="33">
        <f t="shared" ca="1" si="34"/>
        <v>35</v>
      </c>
      <c r="BT92" s="33">
        <f t="shared" ca="1" si="34"/>
        <v>17</v>
      </c>
      <c r="BU92" s="33">
        <f t="shared" ca="1" si="34"/>
        <v>97</v>
      </c>
      <c r="BV92" s="33">
        <f t="shared" ca="1" si="34"/>
        <v>92</v>
      </c>
      <c r="BX92" s="36"/>
    </row>
    <row r="93" spans="1:76" x14ac:dyDescent="0.3">
      <c r="A93" s="49">
        <v>92</v>
      </c>
      <c r="B93" s="19" t="str">
        <f t="shared" ca="1" si="21"/>
        <v>Bastard</v>
      </c>
      <c r="C93" s="19" t="str">
        <f t="shared" ca="1" si="22"/>
        <v>+1</v>
      </c>
      <c r="D93" s="19">
        <f t="shared" ca="1" si="23"/>
        <v>0</v>
      </c>
      <c r="E93" s="19" t="str">
        <f t="shared" ca="1" si="24"/>
        <v>Nil</v>
      </c>
      <c r="F93" s="19" t="str">
        <f t="shared" ca="1" si="25"/>
        <v>Nil</v>
      </c>
      <c r="G93" s="19" t="str">
        <f ca="1">IF(AB93&lt;=VLOOKUP(D93,'power prob array'!$A:$M,2), VLOOKUP(Swords!BK93,Swords!$AS:$BB,10), "")</f>
        <v/>
      </c>
      <c r="H93" s="19" t="str">
        <f ca="1">IF(AC93&lt;=VLOOKUP(D93,'power prob array'!$A:$M,3), VLOOKUP(Swords!BL93,Swords!$AS:$BB,10), "")</f>
        <v/>
      </c>
      <c r="I93" s="19" t="str">
        <f ca="1">IF(AD93&lt;=VLOOKUP(D93,'power prob array'!$A:$M,4), VLOOKUP(Swords!BM93,Swords!$AS:$BB,10), "")</f>
        <v/>
      </c>
      <c r="J93" s="19" t="str">
        <f ca="1">IF(AE93&lt;=VLOOKUP(D93,'power prob array'!$A:$M,5), VLOOKUP(Swords!BN93,Swords!$AS:$BB,10), "")</f>
        <v/>
      </c>
      <c r="K93" s="19" t="str">
        <f ca="1">IF(AF93&lt;=VLOOKUP(D93,'power prob array'!$A:$M,6), VLOOKUP(Swords!BO93,Swords!$AS:$BB,10), "")</f>
        <v/>
      </c>
      <c r="L93" s="19" t="str">
        <f ca="1">IF(AG93&lt;=VLOOKUP(D93,'power prob array'!$A:$M,7), VLOOKUP(Swords!BP93,Swords!$AS:$BB,10), "")</f>
        <v/>
      </c>
      <c r="M93" s="19" t="str">
        <f t="shared" ca="1" si="26"/>
        <v>No</v>
      </c>
      <c r="N93" s="19" t="str">
        <f ca="1">IF(AI93&lt;=VLOOKUP(D93,'power prob array'!$A:$M,8), VLOOKUP(Swords!BQ93,Swords!$AS:$BC,11), "")</f>
        <v/>
      </c>
      <c r="O93" s="19" t="str">
        <f ca="1">IF(AJ93&lt;=VLOOKUP(D93,'power prob array'!$A:$M,9), VLOOKUP(Swords!BR93,Swords!$AS:$BC,11), "")</f>
        <v/>
      </c>
      <c r="P93" s="19" t="str">
        <f ca="1">IF(AK93&lt;=VLOOKUP(D93,'power prob array'!$A:$M,10), VLOOKUP(Swords!BS93,Swords!$AS:$BC,11), "")</f>
        <v/>
      </c>
      <c r="Q93" s="19" t="str">
        <f ca="1">IF(AL93&lt;=VLOOKUP(D93,'power prob array'!$A:$M,11), VLOOKUP(Swords!BT93,Swords!$AS:$BC,11), "")</f>
        <v/>
      </c>
      <c r="R93" s="19" t="str">
        <f ca="1">IF(AM93&lt;=VLOOKUP(D93,'power prob array'!$A:$M,12), VLOOKUP(Swords!BU93,Swords!$AS:$BC,11), "")</f>
        <v/>
      </c>
      <c r="S93" s="19" t="str">
        <f ca="1">IF(AN93&lt;=VLOOKUP(D93,'power prob array'!$A:$M,13), VLOOKUP(Swords!BV93,Swords!$AS:$BC,11), "")</f>
        <v/>
      </c>
      <c r="T93" s="18" t="str">
        <f t="shared" ca="1" si="31"/>
        <v>No</v>
      </c>
      <c r="U93" s="18" t="str" cm="1">
        <f t="array" aca="1" ref="U93" ca="1">_xlfn.IFS(T93="Talent", VLOOKUP(AP93,$AS:$BF,14), T93="No", "", 1=1, VLOOKUP(AP93,$AS:$BF,13))</f>
        <v/>
      </c>
      <c r="V93" s="1"/>
      <c r="W93" s="1"/>
      <c r="X93" s="1">
        <f t="shared" ca="1" si="33"/>
        <v>97</v>
      </c>
      <c r="Y93" s="1">
        <f t="shared" ca="1" si="33"/>
        <v>45</v>
      </c>
      <c r="Z93" s="1">
        <f t="shared" ca="1" si="33"/>
        <v>39</v>
      </c>
      <c r="AA93" s="1">
        <f t="shared" ca="1" si="33"/>
        <v>44</v>
      </c>
      <c r="AB93" s="1">
        <f t="shared" ca="1" si="33"/>
        <v>44</v>
      </c>
      <c r="AC93" s="1">
        <f t="shared" ca="1" si="33"/>
        <v>83</v>
      </c>
      <c r="AD93" s="1">
        <f t="shared" ca="1" si="33"/>
        <v>28</v>
      </c>
      <c r="AE93" s="1">
        <f t="shared" ca="1" si="33"/>
        <v>27</v>
      </c>
      <c r="AF93" s="1">
        <f t="shared" ca="1" si="33"/>
        <v>85</v>
      </c>
      <c r="AG93" s="1">
        <f t="shared" ca="1" si="33"/>
        <v>90</v>
      </c>
      <c r="AH93" s="1"/>
      <c r="AI93" s="1">
        <f t="shared" ca="1" si="33"/>
        <v>26</v>
      </c>
      <c r="AJ93" s="1">
        <f t="shared" ca="1" si="33"/>
        <v>92</v>
      </c>
      <c r="AK93" s="1">
        <f t="shared" ca="1" si="33"/>
        <v>38</v>
      </c>
      <c r="AL93" s="1">
        <f t="shared" ca="1" si="33"/>
        <v>6</v>
      </c>
      <c r="AM93" s="1">
        <f t="shared" ca="1" si="33"/>
        <v>88</v>
      </c>
      <c r="AN93" s="1">
        <f t="shared" ca="1" si="27"/>
        <v>51</v>
      </c>
      <c r="AO93" s="1">
        <f t="shared" ca="1" si="27"/>
        <v>76</v>
      </c>
      <c r="AP93" s="1">
        <f t="shared" ca="1" si="27"/>
        <v>56</v>
      </c>
      <c r="AQ93" s="1"/>
      <c r="AR93" s="1"/>
      <c r="AS93">
        <v>93</v>
      </c>
      <c r="AT93" t="s">
        <v>681</v>
      </c>
      <c r="AU93" s="9" t="s">
        <v>558</v>
      </c>
      <c r="AV93" s="9" t="s">
        <v>557</v>
      </c>
      <c r="AW93" s="9" t="s">
        <v>686</v>
      </c>
      <c r="AX93" s="9" t="s">
        <v>691</v>
      </c>
      <c r="AY93" s="16" t="s">
        <v>683</v>
      </c>
      <c r="AZ93" s="9" t="s">
        <v>694</v>
      </c>
      <c r="BA93" s="9" t="s">
        <v>695</v>
      </c>
      <c r="BB93" s="9" t="s">
        <v>702</v>
      </c>
      <c r="BC93" s="9" t="s">
        <v>717</v>
      </c>
      <c r="BD93" s="9" t="s">
        <v>593</v>
      </c>
      <c r="BE93" s="9" t="s">
        <v>647</v>
      </c>
      <c r="BF93" s="9" t="s">
        <v>664</v>
      </c>
      <c r="BK93" s="33">
        <f t="shared" ca="1" si="34"/>
        <v>100</v>
      </c>
      <c r="BL93" s="33">
        <f t="shared" ca="1" si="34"/>
        <v>23</v>
      </c>
      <c r="BM93" s="33">
        <f t="shared" ca="1" si="34"/>
        <v>5</v>
      </c>
      <c r="BN93" s="33">
        <f t="shared" ca="1" si="34"/>
        <v>26</v>
      </c>
      <c r="BO93" s="33">
        <f t="shared" ca="1" si="34"/>
        <v>10</v>
      </c>
      <c r="BP93" s="33">
        <f t="shared" ca="1" si="34"/>
        <v>87</v>
      </c>
      <c r="BQ93" s="33">
        <f t="shared" ca="1" si="34"/>
        <v>30</v>
      </c>
      <c r="BR93" s="33">
        <f t="shared" ca="1" si="34"/>
        <v>24</v>
      </c>
      <c r="BS93" s="33">
        <f t="shared" ca="1" si="34"/>
        <v>67</v>
      </c>
      <c r="BT93" s="33">
        <f t="shared" ca="1" si="34"/>
        <v>93</v>
      </c>
      <c r="BU93" s="33">
        <f t="shared" ca="1" si="34"/>
        <v>46</v>
      </c>
      <c r="BV93" s="33">
        <f t="shared" ca="1" si="34"/>
        <v>85</v>
      </c>
    </row>
    <row r="94" spans="1:76" s="33" customFormat="1" x14ac:dyDescent="0.3">
      <c r="A94" s="49">
        <v>93</v>
      </c>
      <c r="B94" s="18" t="str">
        <f t="shared" ca="1" si="21"/>
        <v>Short</v>
      </c>
      <c r="C94" s="18" t="str">
        <f t="shared" ca="1" si="22"/>
        <v>+1</v>
      </c>
      <c r="D94" s="18">
        <f t="shared" ca="1" si="23"/>
        <v>0</v>
      </c>
      <c r="E94" s="18" t="str">
        <f t="shared" ca="1" si="24"/>
        <v>Nil</v>
      </c>
      <c r="F94" s="18" t="str">
        <f t="shared" ca="1" si="25"/>
        <v>Nil</v>
      </c>
      <c r="G94" s="18" t="str">
        <f ca="1">IF(AB94&lt;=VLOOKUP(D94,'power prob array'!$A:$M,2), VLOOKUP(Swords!BK94,Swords!$AS:$BB,10), "")</f>
        <v/>
      </c>
      <c r="H94" s="18" t="str">
        <f ca="1">IF(AC94&lt;=VLOOKUP(D94,'power prob array'!$A:$M,3), VLOOKUP(Swords!BL94,Swords!$AS:$BB,10), "")</f>
        <v/>
      </c>
      <c r="I94" s="18" t="str">
        <f ca="1">IF(AD94&lt;=VLOOKUP(D94,'power prob array'!$A:$M,4), VLOOKUP(Swords!BM94,Swords!$AS:$BB,10), "")</f>
        <v/>
      </c>
      <c r="J94" s="18" t="str">
        <f ca="1">IF(AE94&lt;=VLOOKUP(D94,'power prob array'!$A:$M,5), VLOOKUP(Swords!BN94,Swords!$AS:$BB,10), "")</f>
        <v/>
      </c>
      <c r="K94" s="18" t="str">
        <f ca="1">IF(AF94&lt;=VLOOKUP(D94,'power prob array'!$A:$M,6), VLOOKUP(Swords!BO94,Swords!$AS:$BB,10), "")</f>
        <v/>
      </c>
      <c r="L94" s="18" t="str">
        <f ca="1">IF(AG94&lt;=VLOOKUP(D94,'power prob array'!$A:$M,7), VLOOKUP(Swords!BP94,Swords!$AS:$BB,10), "")</f>
        <v/>
      </c>
      <c r="M94" s="18" t="str">
        <f t="shared" ca="1" si="26"/>
        <v>No</v>
      </c>
      <c r="N94" s="18" t="str">
        <f ca="1">IF(AI94&lt;=VLOOKUP(D94,'power prob array'!$A:$M,8), VLOOKUP(Swords!BQ94,Swords!$AS:$BC,11), "")</f>
        <v/>
      </c>
      <c r="O94" s="18" t="str">
        <f ca="1">IF(AJ94&lt;=VLOOKUP(D94,'power prob array'!$A:$M,9), VLOOKUP(Swords!BR94,Swords!$AS:$BC,11), "")</f>
        <v/>
      </c>
      <c r="P94" s="18" t="str">
        <f ca="1">IF(AK94&lt;=VLOOKUP(D94,'power prob array'!$A:$M,10), VLOOKUP(Swords!BS94,Swords!$AS:$BC,11), "")</f>
        <v/>
      </c>
      <c r="Q94" s="18" t="str">
        <f ca="1">IF(AL94&lt;=VLOOKUP(D94,'power prob array'!$A:$M,11), VLOOKUP(Swords!BT94,Swords!$AS:$BC,11), "")</f>
        <v/>
      </c>
      <c r="R94" s="18" t="str">
        <f ca="1">IF(AM94&lt;=VLOOKUP(D94,'power prob array'!$A:$M,12), VLOOKUP(Swords!BU94,Swords!$AS:$BC,11), "")</f>
        <v/>
      </c>
      <c r="S94" s="18" t="str">
        <f ca="1">IF(AN94&lt;=VLOOKUP(D94,'power prob array'!$A:$M,13), VLOOKUP(Swords!BV94,Swords!$AS:$BC,11), "")</f>
        <v/>
      </c>
      <c r="T94" s="18" t="str">
        <f t="shared" ca="1" si="31"/>
        <v>Talent</v>
      </c>
      <c r="U94" s="18" t="str" cm="1">
        <f t="array" aca="1" ref="U94" ca="1">_xlfn.IFS(T94="Talent", VLOOKUP(AP94,$AS:$BF,14), T94="No", "", 1=1, VLOOKUP(AP94,$AS:$BF,13))</f>
        <v>Silencing</v>
      </c>
      <c r="V94" s="1"/>
      <c r="W94" s="1"/>
      <c r="X94" s="1">
        <f t="shared" ca="1" si="33"/>
        <v>68</v>
      </c>
      <c r="Y94" s="1">
        <f t="shared" ca="1" si="33"/>
        <v>1</v>
      </c>
      <c r="Z94" s="1">
        <f t="shared" ca="1" si="33"/>
        <v>13</v>
      </c>
      <c r="AA94" s="1">
        <f t="shared" ca="1" si="33"/>
        <v>63</v>
      </c>
      <c r="AB94" s="1">
        <f t="shared" ca="1" si="33"/>
        <v>93</v>
      </c>
      <c r="AC94" s="1">
        <f t="shared" ca="1" si="33"/>
        <v>46</v>
      </c>
      <c r="AD94" s="1">
        <f t="shared" ca="1" si="33"/>
        <v>63</v>
      </c>
      <c r="AE94" s="1">
        <f t="shared" ca="1" si="33"/>
        <v>72</v>
      </c>
      <c r="AF94" s="1">
        <f t="shared" ca="1" si="33"/>
        <v>20</v>
      </c>
      <c r="AG94" s="1">
        <f t="shared" ca="1" si="33"/>
        <v>19</v>
      </c>
      <c r="AH94" s="1"/>
      <c r="AI94" s="1">
        <f t="shared" ca="1" si="33"/>
        <v>33</v>
      </c>
      <c r="AJ94" s="1">
        <f t="shared" ca="1" si="33"/>
        <v>58</v>
      </c>
      <c r="AK94" s="1">
        <f t="shared" ca="1" si="33"/>
        <v>2</v>
      </c>
      <c r="AL94" s="1">
        <f t="shared" ca="1" si="33"/>
        <v>97</v>
      </c>
      <c r="AM94" s="1">
        <f t="shared" ca="1" si="33"/>
        <v>42</v>
      </c>
      <c r="AN94" s="1">
        <f t="shared" ca="1" si="27"/>
        <v>31</v>
      </c>
      <c r="AO94" s="1">
        <f t="shared" ca="1" si="27"/>
        <v>13</v>
      </c>
      <c r="AP94" s="1">
        <f t="shared" ca="1" si="27"/>
        <v>79</v>
      </c>
      <c r="AQ94" s="1"/>
      <c r="AR94" s="1"/>
      <c r="AS94" s="33">
        <v>94</v>
      </c>
      <c r="AT94" s="33" t="s">
        <v>681</v>
      </c>
      <c r="AU94" s="34" t="s">
        <v>558</v>
      </c>
      <c r="AV94" s="34" t="s">
        <v>557</v>
      </c>
      <c r="AW94" s="34" t="s">
        <v>686</v>
      </c>
      <c r="AX94" s="34" t="s">
        <v>691</v>
      </c>
      <c r="AY94" s="35" t="s">
        <v>683</v>
      </c>
      <c r="AZ94" s="34" t="s">
        <v>694</v>
      </c>
      <c r="BA94" s="34" t="s">
        <v>695</v>
      </c>
      <c r="BB94" s="34" t="s">
        <v>702</v>
      </c>
      <c r="BC94" s="34" t="s">
        <v>717</v>
      </c>
      <c r="BD94" s="34" t="s">
        <v>593</v>
      </c>
      <c r="BE94" s="34" t="s">
        <v>647</v>
      </c>
      <c r="BF94" s="34" t="s">
        <v>664</v>
      </c>
      <c r="BK94" s="33">
        <f t="shared" ca="1" si="34"/>
        <v>41</v>
      </c>
      <c r="BL94" s="33">
        <f t="shared" ca="1" si="34"/>
        <v>74</v>
      </c>
      <c r="BM94" s="33">
        <f t="shared" ca="1" si="34"/>
        <v>95</v>
      </c>
      <c r="BN94" s="33">
        <f t="shared" ca="1" si="34"/>
        <v>5</v>
      </c>
      <c r="BO94" s="33">
        <f t="shared" ca="1" si="34"/>
        <v>88</v>
      </c>
      <c r="BP94" s="33">
        <f t="shared" ca="1" si="34"/>
        <v>40</v>
      </c>
      <c r="BQ94" s="33">
        <f t="shared" ca="1" si="34"/>
        <v>83</v>
      </c>
      <c r="BR94" s="33">
        <f t="shared" ca="1" si="34"/>
        <v>37</v>
      </c>
      <c r="BS94" s="33">
        <f t="shared" ca="1" si="34"/>
        <v>49</v>
      </c>
      <c r="BT94" s="33">
        <f t="shared" ca="1" si="34"/>
        <v>41</v>
      </c>
      <c r="BU94" s="33">
        <f t="shared" ca="1" si="34"/>
        <v>90</v>
      </c>
      <c r="BV94" s="33">
        <f t="shared" ca="1" si="34"/>
        <v>11</v>
      </c>
      <c r="BX94" s="36"/>
    </row>
    <row r="95" spans="1:76" x14ac:dyDescent="0.3">
      <c r="A95" s="49">
        <v>94</v>
      </c>
      <c r="B95" s="19" t="str">
        <f t="shared" ca="1" si="21"/>
        <v>Normal</v>
      </c>
      <c r="C95" s="19" t="str">
        <f t="shared" ca="1" si="22"/>
        <v>+3</v>
      </c>
      <c r="D95" s="19">
        <f t="shared" ca="1" si="23"/>
        <v>0</v>
      </c>
      <c r="E95" s="19" t="str">
        <f t="shared" ca="1" si="24"/>
        <v>Nil</v>
      </c>
      <c r="F95" s="19" t="str">
        <f t="shared" ca="1" si="25"/>
        <v>Nil</v>
      </c>
      <c r="G95" s="19" t="str">
        <f ca="1">IF(AB95&lt;=VLOOKUP(D95,'power prob array'!$A:$M,2), VLOOKUP(Swords!BK95,Swords!$AS:$BB,10), "")</f>
        <v/>
      </c>
      <c r="H95" s="19" t="str">
        <f ca="1">IF(AC95&lt;=VLOOKUP(D95,'power prob array'!$A:$M,3), VLOOKUP(Swords!BL95,Swords!$AS:$BB,10), "")</f>
        <v/>
      </c>
      <c r="I95" s="19" t="str">
        <f ca="1">IF(AD95&lt;=VLOOKUP(D95,'power prob array'!$A:$M,4), VLOOKUP(Swords!BM95,Swords!$AS:$BB,10), "")</f>
        <v/>
      </c>
      <c r="J95" s="19" t="str">
        <f ca="1">IF(AE95&lt;=VLOOKUP(D95,'power prob array'!$A:$M,5), VLOOKUP(Swords!BN95,Swords!$AS:$BB,10), "")</f>
        <v/>
      </c>
      <c r="K95" s="19" t="str">
        <f ca="1">IF(AF95&lt;=VLOOKUP(D95,'power prob array'!$A:$M,6), VLOOKUP(Swords!BO95,Swords!$AS:$BB,10), "")</f>
        <v/>
      </c>
      <c r="L95" s="19" t="str">
        <f ca="1">IF(AG95&lt;=VLOOKUP(D95,'power prob array'!$A:$M,7), VLOOKUP(Swords!BP95,Swords!$AS:$BB,10), "")</f>
        <v/>
      </c>
      <c r="M95" s="19" t="str">
        <f t="shared" ca="1" si="26"/>
        <v>No</v>
      </c>
      <c r="N95" s="19" t="str">
        <f ca="1">IF(AI95&lt;=VLOOKUP(D95,'power prob array'!$A:$M,8), VLOOKUP(Swords!BQ95,Swords!$AS:$BC,11), "")</f>
        <v/>
      </c>
      <c r="O95" s="19" t="str">
        <f ca="1">IF(AJ95&lt;=VLOOKUP(D95,'power prob array'!$A:$M,9), VLOOKUP(Swords!BR95,Swords!$AS:$BC,11), "")</f>
        <v/>
      </c>
      <c r="P95" s="19" t="str">
        <f ca="1">IF(AK95&lt;=VLOOKUP(D95,'power prob array'!$A:$M,10), VLOOKUP(Swords!BS95,Swords!$AS:$BC,11), "")</f>
        <v/>
      </c>
      <c r="Q95" s="19" t="str">
        <f ca="1">IF(AL95&lt;=VLOOKUP(D95,'power prob array'!$A:$M,11), VLOOKUP(Swords!BT95,Swords!$AS:$BC,11), "")</f>
        <v/>
      </c>
      <c r="R95" s="19" t="str">
        <f ca="1">IF(AM95&lt;=VLOOKUP(D95,'power prob array'!$A:$M,12), VLOOKUP(Swords!BU95,Swords!$AS:$BC,11), "")</f>
        <v/>
      </c>
      <c r="S95" s="19" t="str">
        <f ca="1">IF(AN95&lt;=VLOOKUP(D95,'power prob array'!$A:$M,13), VLOOKUP(Swords!BV95,Swords!$AS:$BC,11), "")</f>
        <v/>
      </c>
      <c r="T95" s="18" t="str">
        <f t="shared" ca="1" si="31"/>
        <v>No</v>
      </c>
      <c r="U95" s="18" t="str" cm="1">
        <f t="array" aca="1" ref="U95" ca="1">_xlfn.IFS(T95="Talent", VLOOKUP(AP95,$AS:$BF,14), T95="No", "", 1=1, VLOOKUP(AP95,$AS:$BF,13))</f>
        <v/>
      </c>
      <c r="V95" s="1"/>
      <c r="W95" s="1"/>
      <c r="X95" s="1">
        <f t="shared" ca="1" si="33"/>
        <v>58</v>
      </c>
      <c r="Y95" s="1">
        <f t="shared" ca="1" si="33"/>
        <v>92</v>
      </c>
      <c r="Z95" s="1">
        <f t="shared" ca="1" si="33"/>
        <v>37</v>
      </c>
      <c r="AA95" s="1">
        <f t="shared" ca="1" si="33"/>
        <v>23</v>
      </c>
      <c r="AB95" s="1">
        <f t="shared" ca="1" si="33"/>
        <v>87</v>
      </c>
      <c r="AC95" s="1">
        <f t="shared" ca="1" si="33"/>
        <v>71</v>
      </c>
      <c r="AD95" s="1">
        <f t="shared" ca="1" si="33"/>
        <v>61</v>
      </c>
      <c r="AE95" s="1">
        <f t="shared" ca="1" si="33"/>
        <v>47</v>
      </c>
      <c r="AF95" s="1">
        <f t="shared" ca="1" si="33"/>
        <v>93</v>
      </c>
      <c r="AG95" s="1">
        <f t="shared" ca="1" si="33"/>
        <v>17</v>
      </c>
      <c r="AH95" s="1"/>
      <c r="AI95" s="1">
        <f t="shared" ca="1" si="33"/>
        <v>94</v>
      </c>
      <c r="AJ95" s="1">
        <f t="shared" ca="1" si="33"/>
        <v>32</v>
      </c>
      <c r="AK95" s="1">
        <f t="shared" ca="1" si="33"/>
        <v>89</v>
      </c>
      <c r="AL95" s="1">
        <f t="shared" ca="1" si="33"/>
        <v>69</v>
      </c>
      <c r="AM95" s="1">
        <f t="shared" ca="1" si="33"/>
        <v>65</v>
      </c>
      <c r="AN95" s="1">
        <f t="shared" ca="1" si="27"/>
        <v>84</v>
      </c>
      <c r="AO95" s="1">
        <f t="shared" ca="1" si="27"/>
        <v>43</v>
      </c>
      <c r="AP95" s="1">
        <f t="shared" ca="1" si="27"/>
        <v>58</v>
      </c>
      <c r="AQ95" s="1"/>
      <c r="AR95" s="1"/>
      <c r="AS95">
        <v>95</v>
      </c>
      <c r="AT95" t="s">
        <v>681</v>
      </c>
      <c r="AU95" s="9" t="s">
        <v>558</v>
      </c>
      <c r="AV95" s="9" t="s">
        <v>557</v>
      </c>
      <c r="AW95" s="9" t="s">
        <v>687</v>
      </c>
      <c r="AX95" s="9" t="s">
        <v>197</v>
      </c>
      <c r="AY95" s="16">
        <f ca="1">RANDBETWEEN(1,3)</f>
        <v>2</v>
      </c>
      <c r="AZ95" s="9" t="s">
        <v>694</v>
      </c>
      <c r="BA95" s="9" t="s">
        <v>695</v>
      </c>
      <c r="BB95" s="9" t="s">
        <v>702</v>
      </c>
      <c r="BC95" s="9" t="s">
        <v>717</v>
      </c>
      <c r="BD95" s="9" t="s">
        <v>593</v>
      </c>
      <c r="BE95" s="9" t="s">
        <v>720</v>
      </c>
      <c r="BF95" s="9" t="s">
        <v>665</v>
      </c>
      <c r="BK95" s="33">
        <f t="shared" ca="1" si="34"/>
        <v>49</v>
      </c>
      <c r="BL95" s="33">
        <f t="shared" ca="1" si="34"/>
        <v>98</v>
      </c>
      <c r="BM95" s="33">
        <f t="shared" ca="1" si="34"/>
        <v>47</v>
      </c>
      <c r="BN95" s="33">
        <f t="shared" ca="1" si="34"/>
        <v>6</v>
      </c>
      <c r="BO95" s="33">
        <f t="shared" ca="1" si="34"/>
        <v>22</v>
      </c>
      <c r="BP95" s="33">
        <f t="shared" ca="1" si="34"/>
        <v>48</v>
      </c>
      <c r="BQ95" s="33">
        <f t="shared" ca="1" si="34"/>
        <v>16</v>
      </c>
      <c r="BR95" s="33">
        <f t="shared" ca="1" si="34"/>
        <v>93</v>
      </c>
      <c r="BS95" s="33">
        <f t="shared" ca="1" si="34"/>
        <v>19</v>
      </c>
      <c r="BT95" s="33">
        <f t="shared" ca="1" si="34"/>
        <v>92</v>
      </c>
      <c r="BU95" s="33">
        <f t="shared" ca="1" si="34"/>
        <v>24</v>
      </c>
      <c r="BV95" s="33">
        <f t="shared" ca="1" si="34"/>
        <v>7</v>
      </c>
    </row>
    <row r="96" spans="1:76" s="33" customFormat="1" x14ac:dyDescent="0.3">
      <c r="A96" s="49">
        <v>95</v>
      </c>
      <c r="B96" s="18" t="str">
        <f t="shared" ca="1" si="21"/>
        <v>Normal</v>
      </c>
      <c r="C96" s="18" t="str">
        <f t="shared" ca="1" si="22"/>
        <v>+1</v>
      </c>
      <c r="D96" s="18">
        <f t="shared" ca="1" si="23"/>
        <v>0</v>
      </c>
      <c r="E96" s="18" t="str">
        <f t="shared" ca="1" si="24"/>
        <v>Nil</v>
      </c>
      <c r="F96" s="18" t="str">
        <f t="shared" ca="1" si="25"/>
        <v>Nil</v>
      </c>
      <c r="G96" s="18" t="str">
        <f ca="1">IF(AB96&lt;=VLOOKUP(D96,'power prob array'!$A:$M,2), VLOOKUP(Swords!BK96,Swords!$AS:$BB,10), "")</f>
        <v/>
      </c>
      <c r="H96" s="18" t="str">
        <f ca="1">IF(AC96&lt;=VLOOKUP(D96,'power prob array'!$A:$M,3), VLOOKUP(Swords!BL96,Swords!$AS:$BB,10), "")</f>
        <v/>
      </c>
      <c r="I96" s="18" t="str">
        <f ca="1">IF(AD96&lt;=VLOOKUP(D96,'power prob array'!$A:$M,4), VLOOKUP(Swords!BM96,Swords!$AS:$BB,10), "")</f>
        <v/>
      </c>
      <c r="J96" s="18" t="str">
        <f ca="1">IF(AE96&lt;=VLOOKUP(D96,'power prob array'!$A:$M,5), VLOOKUP(Swords!BN96,Swords!$AS:$BB,10), "")</f>
        <v/>
      </c>
      <c r="K96" s="18" t="str">
        <f ca="1">IF(AF96&lt;=VLOOKUP(D96,'power prob array'!$A:$M,6), VLOOKUP(Swords!BO96,Swords!$AS:$BB,10), "")</f>
        <v/>
      </c>
      <c r="L96" s="18" t="str">
        <f ca="1">IF(AG96&lt;=VLOOKUP(D96,'power prob array'!$A:$M,7), VLOOKUP(Swords!BP96,Swords!$AS:$BB,10), "")</f>
        <v/>
      </c>
      <c r="M96" s="18" t="str">
        <f t="shared" ca="1" si="26"/>
        <v>No</v>
      </c>
      <c r="N96" s="18" t="str">
        <f ca="1">IF(AI96&lt;=VLOOKUP(D96,'power prob array'!$A:$M,8), VLOOKUP(Swords!BQ96,Swords!$AS:$BC,11), "")</f>
        <v/>
      </c>
      <c r="O96" s="18" t="str">
        <f ca="1">IF(AJ96&lt;=VLOOKUP(D96,'power prob array'!$A:$M,9), VLOOKUP(Swords!BR96,Swords!$AS:$BC,11), "")</f>
        <v/>
      </c>
      <c r="P96" s="18" t="str">
        <f ca="1">IF(AK96&lt;=VLOOKUP(D96,'power prob array'!$A:$M,10), VLOOKUP(Swords!BS96,Swords!$AS:$BC,11), "")</f>
        <v/>
      </c>
      <c r="Q96" s="18" t="str">
        <f ca="1">IF(AL96&lt;=VLOOKUP(D96,'power prob array'!$A:$M,11), VLOOKUP(Swords!BT96,Swords!$AS:$BC,11), "")</f>
        <v/>
      </c>
      <c r="R96" s="18" t="str">
        <f ca="1">IF(AM96&lt;=VLOOKUP(D96,'power prob array'!$A:$M,12), VLOOKUP(Swords!BU96,Swords!$AS:$BC,11), "")</f>
        <v/>
      </c>
      <c r="S96" s="18" t="str">
        <f ca="1">IF(AN96&lt;=VLOOKUP(D96,'power prob array'!$A:$M,13), VLOOKUP(Swords!BV96,Swords!$AS:$BC,11), "")</f>
        <v/>
      </c>
      <c r="T96" s="18" t="str">
        <f t="shared" ca="1" si="31"/>
        <v>+1</v>
      </c>
      <c r="U96" s="18" t="str" cm="1">
        <f t="array" aca="1" ref="U96" ca="1">_xlfn.IFS(T96="Talent", VLOOKUP(AP96,$AS:$BF,14), T96="No", "", 1=1, VLOOKUP(AP96,$AS:$BF,13))</f>
        <v>Bugs</v>
      </c>
      <c r="V96" s="1"/>
      <c r="W96" s="1"/>
      <c r="X96" s="1">
        <f t="shared" ca="1" si="33"/>
        <v>17</v>
      </c>
      <c r="Y96" s="1">
        <f t="shared" ca="1" si="33"/>
        <v>24</v>
      </c>
      <c r="Z96" s="1">
        <f t="shared" ca="1" si="33"/>
        <v>80</v>
      </c>
      <c r="AA96" s="1">
        <f t="shared" ca="1" si="33"/>
        <v>6</v>
      </c>
      <c r="AB96" s="1">
        <f t="shared" ca="1" si="33"/>
        <v>64</v>
      </c>
      <c r="AC96" s="1">
        <f t="shared" ca="1" si="33"/>
        <v>12</v>
      </c>
      <c r="AD96" s="1">
        <f t="shared" ca="1" si="33"/>
        <v>80</v>
      </c>
      <c r="AE96" s="1">
        <f t="shared" ca="1" si="33"/>
        <v>85</v>
      </c>
      <c r="AF96" s="1">
        <f t="shared" ca="1" si="33"/>
        <v>79</v>
      </c>
      <c r="AG96" s="1">
        <f t="shared" ca="1" si="33"/>
        <v>37</v>
      </c>
      <c r="AH96" s="1"/>
      <c r="AI96" s="1">
        <f t="shared" ca="1" si="33"/>
        <v>39</v>
      </c>
      <c r="AJ96" s="1">
        <f t="shared" ca="1" si="33"/>
        <v>47</v>
      </c>
      <c r="AK96" s="1">
        <f t="shared" ca="1" si="33"/>
        <v>96</v>
      </c>
      <c r="AL96" s="1">
        <f t="shared" ca="1" si="33"/>
        <v>47</v>
      </c>
      <c r="AM96" s="1">
        <f t="shared" ca="1" si="33"/>
        <v>81</v>
      </c>
      <c r="AN96" s="1">
        <f t="shared" ca="1" si="27"/>
        <v>16</v>
      </c>
      <c r="AO96" s="1">
        <f t="shared" ca="1" si="27"/>
        <v>14</v>
      </c>
      <c r="AP96" s="1">
        <f t="shared" ca="1" si="27"/>
        <v>2</v>
      </c>
      <c r="AQ96" s="1"/>
      <c r="AR96" s="1"/>
      <c r="AS96" s="33">
        <v>96</v>
      </c>
      <c r="AT96" s="33" t="s">
        <v>681</v>
      </c>
      <c r="AU96" s="34" t="s">
        <v>558</v>
      </c>
      <c r="AV96" s="34" t="s">
        <v>557</v>
      </c>
      <c r="AW96" s="34" t="s">
        <v>687</v>
      </c>
      <c r="AX96" s="34" t="s">
        <v>197</v>
      </c>
      <c r="AY96" s="35">
        <f t="shared" ref="AY96:AY97" ca="1" si="35">RANDBETWEEN(1,3)</f>
        <v>3</v>
      </c>
      <c r="AZ96" s="34" t="s">
        <v>694</v>
      </c>
      <c r="BA96" s="34" t="s">
        <v>695</v>
      </c>
      <c r="BB96" s="34" t="s">
        <v>702</v>
      </c>
      <c r="BC96" s="34" t="s">
        <v>717</v>
      </c>
      <c r="BD96" s="34" t="s">
        <v>593</v>
      </c>
      <c r="BE96" s="34" t="s">
        <v>720</v>
      </c>
      <c r="BF96" s="34" t="s">
        <v>665</v>
      </c>
      <c r="BK96" s="33">
        <f t="shared" ca="1" si="34"/>
        <v>87</v>
      </c>
      <c r="BL96" s="33">
        <f t="shared" ca="1" si="34"/>
        <v>24</v>
      </c>
      <c r="BM96" s="33">
        <f t="shared" ca="1" si="34"/>
        <v>51</v>
      </c>
      <c r="BN96" s="33">
        <f t="shared" ca="1" si="34"/>
        <v>5</v>
      </c>
      <c r="BO96" s="33">
        <f t="shared" ca="1" si="34"/>
        <v>27</v>
      </c>
      <c r="BP96" s="33">
        <f t="shared" ca="1" si="34"/>
        <v>41</v>
      </c>
      <c r="BQ96" s="33">
        <f t="shared" ca="1" si="34"/>
        <v>21</v>
      </c>
      <c r="BR96" s="33">
        <f t="shared" ca="1" si="34"/>
        <v>11</v>
      </c>
      <c r="BS96" s="33">
        <f t="shared" ca="1" si="34"/>
        <v>57</v>
      </c>
      <c r="BT96" s="33">
        <f t="shared" ca="1" si="34"/>
        <v>15</v>
      </c>
      <c r="BU96" s="33">
        <f t="shared" ca="1" si="34"/>
        <v>63</v>
      </c>
      <c r="BV96" s="33">
        <f t="shared" ca="1" si="34"/>
        <v>81</v>
      </c>
      <c r="BX96" s="36"/>
    </row>
    <row r="97" spans="1:76" x14ac:dyDescent="0.3">
      <c r="A97" s="49">
        <v>96</v>
      </c>
      <c r="B97" s="19" t="str">
        <f t="shared" ca="1" si="21"/>
        <v>Normal</v>
      </c>
      <c r="C97" s="19" t="str">
        <f t="shared" ca="1" si="22"/>
        <v>+1</v>
      </c>
      <c r="D97" s="19">
        <f t="shared" ca="1" si="23"/>
        <v>0</v>
      </c>
      <c r="E97" s="19" t="str">
        <f t="shared" ca="1" si="24"/>
        <v>Nil</v>
      </c>
      <c r="F97" s="19" t="str">
        <f t="shared" ca="1" si="25"/>
        <v>Nil</v>
      </c>
      <c r="G97" s="19" t="str">
        <f ca="1">IF(AB97&lt;=VLOOKUP(D97,'power prob array'!$A:$M,2), VLOOKUP(Swords!BK97,Swords!$AS:$BB,10), "")</f>
        <v/>
      </c>
      <c r="H97" s="19" t="str">
        <f ca="1">IF(AC97&lt;=VLOOKUP(D97,'power prob array'!$A:$M,3), VLOOKUP(Swords!BL97,Swords!$AS:$BB,10), "")</f>
        <v/>
      </c>
      <c r="I97" s="19" t="str">
        <f ca="1">IF(AD97&lt;=VLOOKUP(D97,'power prob array'!$A:$M,4), VLOOKUP(Swords!BM97,Swords!$AS:$BB,10), "")</f>
        <v/>
      </c>
      <c r="J97" s="19" t="str">
        <f ca="1">IF(AE97&lt;=VLOOKUP(D97,'power prob array'!$A:$M,5), VLOOKUP(Swords!BN97,Swords!$AS:$BB,10), "")</f>
        <v/>
      </c>
      <c r="K97" s="19" t="str">
        <f ca="1">IF(AF97&lt;=VLOOKUP(D97,'power prob array'!$A:$M,6), VLOOKUP(Swords!BO97,Swords!$AS:$BB,10), "")</f>
        <v/>
      </c>
      <c r="L97" s="19" t="str">
        <f ca="1">IF(AG97&lt;=VLOOKUP(D97,'power prob array'!$A:$M,7), VLOOKUP(Swords!BP97,Swords!$AS:$BB,10), "")</f>
        <v/>
      </c>
      <c r="M97" s="19" t="str">
        <f t="shared" ca="1" si="26"/>
        <v>No</v>
      </c>
      <c r="N97" s="19" t="str">
        <f ca="1">IF(AI97&lt;=VLOOKUP(D97,'power prob array'!$A:$M,8), VLOOKUP(Swords!BQ97,Swords!$AS:$BC,11), "")</f>
        <v/>
      </c>
      <c r="O97" s="19" t="str">
        <f ca="1">IF(AJ97&lt;=VLOOKUP(D97,'power prob array'!$A:$M,9), VLOOKUP(Swords!BR97,Swords!$AS:$BC,11), "")</f>
        <v/>
      </c>
      <c r="P97" s="19" t="str">
        <f ca="1">IF(AK97&lt;=VLOOKUP(D97,'power prob array'!$A:$M,10), VLOOKUP(Swords!BS97,Swords!$AS:$BC,11), "")</f>
        <v/>
      </c>
      <c r="Q97" s="19" t="str">
        <f ca="1">IF(AL97&lt;=VLOOKUP(D97,'power prob array'!$A:$M,11), VLOOKUP(Swords!BT97,Swords!$AS:$BC,11), "")</f>
        <v/>
      </c>
      <c r="R97" s="19" t="str">
        <f ca="1">IF(AM97&lt;=VLOOKUP(D97,'power prob array'!$A:$M,12), VLOOKUP(Swords!BU97,Swords!$AS:$BC,11), "")</f>
        <v/>
      </c>
      <c r="S97" s="19" t="str">
        <f ca="1">IF(AN97&lt;=VLOOKUP(D97,'power prob array'!$A:$M,13), VLOOKUP(Swords!BV97,Swords!$AS:$BC,11), "")</f>
        <v/>
      </c>
      <c r="T97" s="18" t="str">
        <f t="shared" ca="1" si="31"/>
        <v>No</v>
      </c>
      <c r="U97" s="18" t="str" cm="1">
        <f t="array" aca="1" ref="U97" ca="1">_xlfn.IFS(T97="Talent", VLOOKUP(AP97,$AS:$BF,14), T97="No", "", 1=1, VLOOKUP(AP97,$AS:$BF,13))</f>
        <v/>
      </c>
      <c r="V97" s="1"/>
      <c r="W97" s="1"/>
      <c r="X97" s="1">
        <f t="shared" ca="1" si="33"/>
        <v>13</v>
      </c>
      <c r="Y97" s="1">
        <f t="shared" ca="1" si="33"/>
        <v>44</v>
      </c>
      <c r="Z97" s="1">
        <f t="shared" ca="1" si="33"/>
        <v>100</v>
      </c>
      <c r="AA97" s="1">
        <f t="shared" ca="1" si="33"/>
        <v>53</v>
      </c>
      <c r="AB97" s="1">
        <f t="shared" ca="1" si="33"/>
        <v>48</v>
      </c>
      <c r="AC97" s="1">
        <f t="shared" ca="1" si="33"/>
        <v>16</v>
      </c>
      <c r="AD97" s="1">
        <f t="shared" ca="1" si="33"/>
        <v>35</v>
      </c>
      <c r="AE97" s="1">
        <f t="shared" ca="1" si="33"/>
        <v>78</v>
      </c>
      <c r="AF97" s="1">
        <f t="shared" ca="1" si="33"/>
        <v>34</v>
      </c>
      <c r="AG97" s="1">
        <f t="shared" ca="1" si="33"/>
        <v>60</v>
      </c>
      <c r="AH97" s="1"/>
      <c r="AI97" s="1">
        <f t="shared" ca="1" si="33"/>
        <v>44</v>
      </c>
      <c r="AJ97" s="1">
        <f t="shared" ca="1" si="33"/>
        <v>20</v>
      </c>
      <c r="AK97" s="1">
        <f t="shared" ca="1" si="33"/>
        <v>88</v>
      </c>
      <c r="AL97" s="1">
        <f t="shared" ca="1" si="33"/>
        <v>66</v>
      </c>
      <c r="AM97" s="1">
        <f t="shared" ca="1" si="33"/>
        <v>2</v>
      </c>
      <c r="AN97" s="1">
        <f t="shared" ca="1" si="27"/>
        <v>58</v>
      </c>
      <c r="AO97" s="1">
        <f t="shared" ca="1" si="27"/>
        <v>44</v>
      </c>
      <c r="AP97" s="1">
        <f t="shared" ca="1" si="27"/>
        <v>28</v>
      </c>
      <c r="AQ97" s="1"/>
      <c r="AR97" s="1"/>
      <c r="AS97">
        <v>97</v>
      </c>
      <c r="AT97" t="s">
        <v>681</v>
      </c>
      <c r="AU97" s="9" t="s">
        <v>558</v>
      </c>
      <c r="AV97" s="9" t="s">
        <v>558</v>
      </c>
      <c r="AW97" s="9" t="s">
        <v>687</v>
      </c>
      <c r="AX97" s="9" t="s">
        <v>197</v>
      </c>
      <c r="AY97" s="16">
        <f t="shared" ca="1" si="35"/>
        <v>2</v>
      </c>
      <c r="AZ97" s="9" t="s">
        <v>694</v>
      </c>
      <c r="BA97" s="9" t="s">
        <v>695</v>
      </c>
      <c r="BB97" s="9" t="s">
        <v>463</v>
      </c>
      <c r="BC97" s="9" t="s">
        <v>717</v>
      </c>
      <c r="BD97" s="9" t="s">
        <v>593</v>
      </c>
      <c r="BE97" s="9" t="s">
        <v>720</v>
      </c>
      <c r="BF97" s="9" t="s">
        <v>665</v>
      </c>
      <c r="BK97" s="33">
        <f t="shared" ca="1" si="34"/>
        <v>4</v>
      </c>
      <c r="BL97" s="33">
        <f t="shared" ca="1" si="34"/>
        <v>29</v>
      </c>
      <c r="BM97" s="33">
        <f t="shared" ca="1" si="34"/>
        <v>75</v>
      </c>
      <c r="BN97" s="33">
        <f t="shared" ca="1" si="34"/>
        <v>5</v>
      </c>
      <c r="BO97" s="33">
        <f t="shared" ca="1" si="34"/>
        <v>19</v>
      </c>
      <c r="BP97" s="33">
        <f t="shared" ca="1" si="34"/>
        <v>60</v>
      </c>
      <c r="BQ97" s="33">
        <f t="shared" ca="1" si="34"/>
        <v>43</v>
      </c>
      <c r="BR97" s="33">
        <f t="shared" ca="1" si="34"/>
        <v>25</v>
      </c>
      <c r="BS97" s="33">
        <f t="shared" ca="1" si="34"/>
        <v>16</v>
      </c>
      <c r="BT97" s="33">
        <f t="shared" ca="1" si="34"/>
        <v>25</v>
      </c>
      <c r="BU97" s="33">
        <f t="shared" ca="1" si="34"/>
        <v>46</v>
      </c>
      <c r="BV97" s="33">
        <f t="shared" ca="1" si="34"/>
        <v>55</v>
      </c>
    </row>
    <row r="98" spans="1:76" s="33" customFormat="1" x14ac:dyDescent="0.3">
      <c r="A98" s="49">
        <v>97</v>
      </c>
      <c r="B98" s="18" t="str">
        <f t="shared" ca="1" si="21"/>
        <v>Normal</v>
      </c>
      <c r="C98" s="18" t="str">
        <f t="shared" ca="1" si="22"/>
        <v>+1</v>
      </c>
      <c r="D98" s="18">
        <f t="shared" ca="1" si="23"/>
        <v>0</v>
      </c>
      <c r="E98" s="18" t="str">
        <f t="shared" ca="1" si="24"/>
        <v>Nil</v>
      </c>
      <c r="F98" s="18" t="str">
        <f t="shared" ca="1" si="25"/>
        <v>Nil</v>
      </c>
      <c r="G98" s="18" t="str">
        <f ca="1">IF(AB98&lt;=VLOOKUP(D98,'power prob array'!$A:$M,2), VLOOKUP(Swords!BK98,Swords!$AS:$BB,10), "")</f>
        <v/>
      </c>
      <c r="H98" s="18" t="str">
        <f ca="1">IF(AC98&lt;=VLOOKUP(D98,'power prob array'!$A:$M,3), VLOOKUP(Swords!BL98,Swords!$AS:$BB,10), "")</f>
        <v/>
      </c>
      <c r="I98" s="18" t="str">
        <f ca="1">IF(AD98&lt;=VLOOKUP(D98,'power prob array'!$A:$M,4), VLOOKUP(Swords!BM98,Swords!$AS:$BB,10), "")</f>
        <v/>
      </c>
      <c r="J98" s="18" t="str">
        <f ca="1">IF(AE98&lt;=VLOOKUP(D98,'power prob array'!$A:$M,5), VLOOKUP(Swords!BN98,Swords!$AS:$BB,10), "")</f>
        <v/>
      </c>
      <c r="K98" s="18" t="str">
        <f ca="1">IF(AF98&lt;=VLOOKUP(D98,'power prob array'!$A:$M,6), VLOOKUP(Swords!BO98,Swords!$AS:$BB,10), "")</f>
        <v/>
      </c>
      <c r="L98" s="18" t="str">
        <f ca="1">IF(AG98&lt;=VLOOKUP(D98,'power prob array'!$A:$M,7), VLOOKUP(Swords!BP98,Swords!$AS:$BB,10), "")</f>
        <v/>
      </c>
      <c r="M98" s="18" t="str">
        <f t="shared" ca="1" si="26"/>
        <v>No</v>
      </c>
      <c r="N98" s="18" t="str">
        <f ca="1">IF(AI98&lt;=VLOOKUP(D98,'power prob array'!$A:$M,8), VLOOKUP(Swords!BQ98,Swords!$AS:$BC,11), "")</f>
        <v/>
      </c>
      <c r="O98" s="18" t="str">
        <f ca="1">IF(AJ98&lt;=VLOOKUP(D98,'power prob array'!$A:$M,9), VLOOKUP(Swords!BR98,Swords!$AS:$BC,11), "")</f>
        <v/>
      </c>
      <c r="P98" s="18" t="str">
        <f ca="1">IF(AK98&lt;=VLOOKUP(D98,'power prob array'!$A:$M,10), VLOOKUP(Swords!BS98,Swords!$AS:$BC,11), "")</f>
        <v/>
      </c>
      <c r="Q98" s="18" t="str">
        <f ca="1">IF(AL98&lt;=VLOOKUP(D98,'power prob array'!$A:$M,11), VLOOKUP(Swords!BT98,Swords!$AS:$BC,11), "")</f>
        <v/>
      </c>
      <c r="R98" s="18" t="str">
        <f ca="1">IF(AM98&lt;=VLOOKUP(D98,'power prob array'!$A:$M,12), VLOOKUP(Swords!BU98,Swords!$AS:$BC,11), "")</f>
        <v/>
      </c>
      <c r="S98" s="18" t="str">
        <f ca="1">IF(AN98&lt;=VLOOKUP(D98,'power prob array'!$A:$M,13), VLOOKUP(Swords!BV98,Swords!$AS:$BC,11), "")</f>
        <v/>
      </c>
      <c r="T98" s="18" t="str">
        <f t="shared" ca="1" si="31"/>
        <v>No</v>
      </c>
      <c r="U98" s="18" t="str" cm="1">
        <f t="array" aca="1" ref="U98" ca="1">_xlfn.IFS(T98="Talent", VLOOKUP(AP98,$AS:$BF,14), T98="No", "", 1=1, VLOOKUP(AP98,$AS:$BF,13))</f>
        <v/>
      </c>
      <c r="V98" s="1"/>
      <c r="W98" s="1"/>
      <c r="X98" s="1">
        <f t="shared" ca="1" si="33"/>
        <v>41</v>
      </c>
      <c r="Y98" s="1">
        <f t="shared" ca="1" si="33"/>
        <v>34</v>
      </c>
      <c r="Z98" s="1">
        <f t="shared" ca="1" si="33"/>
        <v>46</v>
      </c>
      <c r="AA98" s="1">
        <f t="shared" ca="1" si="33"/>
        <v>66</v>
      </c>
      <c r="AB98" s="1">
        <f t="shared" ca="1" si="33"/>
        <v>97</v>
      </c>
      <c r="AC98" s="1">
        <f t="shared" ca="1" si="33"/>
        <v>70</v>
      </c>
      <c r="AD98" s="1">
        <f t="shared" ca="1" si="33"/>
        <v>81</v>
      </c>
      <c r="AE98" s="1">
        <f t="shared" ca="1" si="33"/>
        <v>14</v>
      </c>
      <c r="AF98" s="1">
        <f t="shared" ca="1" si="33"/>
        <v>94</v>
      </c>
      <c r="AG98" s="1">
        <f t="shared" ca="1" si="33"/>
        <v>31</v>
      </c>
      <c r="AH98" s="1"/>
      <c r="AI98" s="1">
        <f t="shared" ca="1" si="33"/>
        <v>80</v>
      </c>
      <c r="AJ98" s="1">
        <f t="shared" ca="1" si="33"/>
        <v>27</v>
      </c>
      <c r="AK98" s="1">
        <f t="shared" ca="1" si="33"/>
        <v>41</v>
      </c>
      <c r="AL98" s="1">
        <f t="shared" ca="1" si="33"/>
        <v>46</v>
      </c>
      <c r="AM98" s="1">
        <f t="shared" ca="1" si="33"/>
        <v>70</v>
      </c>
      <c r="AN98" s="1">
        <f t="shared" ca="1" si="27"/>
        <v>91</v>
      </c>
      <c r="AO98" s="1">
        <f t="shared" ca="1" si="27"/>
        <v>80</v>
      </c>
      <c r="AP98" s="1">
        <f t="shared" ca="1" si="27"/>
        <v>98</v>
      </c>
      <c r="AQ98" s="1"/>
      <c r="AR98" s="1"/>
      <c r="AS98" s="33">
        <v>98</v>
      </c>
      <c r="AT98" s="33" t="s">
        <v>681</v>
      </c>
      <c r="AU98" s="34" t="s">
        <v>558</v>
      </c>
      <c r="AV98" s="34" t="s">
        <v>558</v>
      </c>
      <c r="AW98" s="34" t="s">
        <v>688</v>
      </c>
      <c r="AX98" s="34" t="s">
        <v>197</v>
      </c>
      <c r="AY98" s="35">
        <f ca="1">RANDBETWEEN(1,6)</f>
        <v>6</v>
      </c>
      <c r="AZ98" s="34" t="s">
        <v>694</v>
      </c>
      <c r="BA98" s="34" t="s">
        <v>596</v>
      </c>
      <c r="BB98" s="34" t="s">
        <v>701</v>
      </c>
      <c r="BC98" s="34" t="s">
        <v>716</v>
      </c>
      <c r="BD98" s="34" t="s">
        <v>593</v>
      </c>
      <c r="BE98" s="34" t="s">
        <v>720</v>
      </c>
      <c r="BF98" s="34" t="s">
        <v>665</v>
      </c>
      <c r="BK98" s="33">
        <f t="shared" ca="1" si="34"/>
        <v>88</v>
      </c>
      <c r="BL98" s="33">
        <f t="shared" ca="1" si="34"/>
        <v>93</v>
      </c>
      <c r="BM98" s="33">
        <f t="shared" ca="1" si="34"/>
        <v>23</v>
      </c>
      <c r="BN98" s="33">
        <f t="shared" ca="1" si="34"/>
        <v>63</v>
      </c>
      <c r="BO98" s="33">
        <f t="shared" ca="1" si="34"/>
        <v>97</v>
      </c>
      <c r="BP98" s="33">
        <f t="shared" ca="1" si="34"/>
        <v>10</v>
      </c>
      <c r="BQ98" s="33">
        <f t="shared" ca="1" si="34"/>
        <v>30</v>
      </c>
      <c r="BR98" s="33">
        <f t="shared" ca="1" si="34"/>
        <v>34</v>
      </c>
      <c r="BS98" s="33">
        <f t="shared" ca="1" si="34"/>
        <v>100</v>
      </c>
      <c r="BT98" s="33">
        <f t="shared" ca="1" si="34"/>
        <v>94</v>
      </c>
      <c r="BU98" s="33">
        <f t="shared" ca="1" si="34"/>
        <v>12</v>
      </c>
      <c r="BV98" s="33">
        <f t="shared" ca="1" si="34"/>
        <v>65</v>
      </c>
      <c r="BX98" s="36"/>
    </row>
    <row r="99" spans="1:76" x14ac:dyDescent="0.3">
      <c r="A99" s="49">
        <v>98</v>
      </c>
      <c r="B99" s="19" t="str">
        <f t="shared" ca="1" si="21"/>
        <v>Normal</v>
      </c>
      <c r="C99" s="19" t="str">
        <f t="shared" ca="1" si="22"/>
        <v>+2</v>
      </c>
      <c r="D99" s="19">
        <f t="shared" ca="1" si="23"/>
        <v>0</v>
      </c>
      <c r="E99" s="19" t="str">
        <f t="shared" ca="1" si="24"/>
        <v>Nil</v>
      </c>
      <c r="F99" s="19" t="str">
        <f t="shared" ca="1" si="25"/>
        <v>Nil</v>
      </c>
      <c r="G99" s="19" t="str">
        <f ca="1">IF(AB99&lt;=VLOOKUP(D99,'power prob array'!$A:$M,2), VLOOKUP(Swords!BK99,Swords!$AS:$BB,10), "")</f>
        <v/>
      </c>
      <c r="H99" s="19" t="str">
        <f ca="1">IF(AC99&lt;=VLOOKUP(D99,'power prob array'!$A:$M,3), VLOOKUP(Swords!BL99,Swords!$AS:$BB,10), "")</f>
        <v/>
      </c>
      <c r="I99" s="19" t="str">
        <f ca="1">IF(AD99&lt;=VLOOKUP(D99,'power prob array'!$A:$M,4), VLOOKUP(Swords!BM99,Swords!$AS:$BB,10), "")</f>
        <v/>
      </c>
      <c r="J99" s="19" t="str">
        <f ca="1">IF(AE99&lt;=VLOOKUP(D99,'power prob array'!$A:$M,5), VLOOKUP(Swords!BN99,Swords!$AS:$BB,10), "")</f>
        <v/>
      </c>
      <c r="K99" s="19" t="str">
        <f ca="1">IF(AF99&lt;=VLOOKUP(D99,'power prob array'!$A:$M,6), VLOOKUP(Swords!BO99,Swords!$AS:$BB,10), "")</f>
        <v/>
      </c>
      <c r="L99" s="19" t="str">
        <f ca="1">IF(AG99&lt;=VLOOKUP(D99,'power prob array'!$A:$M,7), VLOOKUP(Swords!BP99,Swords!$AS:$BB,10), "")</f>
        <v/>
      </c>
      <c r="M99" s="19" t="str">
        <f t="shared" ca="1" si="26"/>
        <v>No</v>
      </c>
      <c r="N99" s="19" t="str">
        <f ca="1">IF(AI99&lt;=VLOOKUP(D99,'power prob array'!$A:$M,8), VLOOKUP(Swords!BQ99,Swords!$AS:$BC,11), "")</f>
        <v/>
      </c>
      <c r="O99" s="19" t="str">
        <f ca="1">IF(AJ99&lt;=VLOOKUP(D99,'power prob array'!$A:$M,9), VLOOKUP(Swords!BR99,Swords!$AS:$BC,11), "")</f>
        <v/>
      </c>
      <c r="P99" s="19" t="str">
        <f ca="1">IF(AK99&lt;=VLOOKUP(D99,'power prob array'!$A:$M,10), VLOOKUP(Swords!BS99,Swords!$AS:$BC,11), "")</f>
        <v/>
      </c>
      <c r="Q99" s="19" t="str">
        <f ca="1">IF(AL99&lt;=VLOOKUP(D99,'power prob array'!$A:$M,11), VLOOKUP(Swords!BT99,Swords!$AS:$BC,11), "")</f>
        <v/>
      </c>
      <c r="R99" s="19" t="str">
        <f ca="1">IF(AM99&lt;=VLOOKUP(D99,'power prob array'!$A:$M,12), VLOOKUP(Swords!BU99,Swords!$AS:$BC,11), "")</f>
        <v/>
      </c>
      <c r="S99" s="19" t="str">
        <f ca="1">IF(AN99&lt;=VLOOKUP(D99,'power prob array'!$A:$M,13), VLOOKUP(Swords!BV99,Swords!$AS:$BC,11), "")</f>
        <v/>
      </c>
      <c r="T99" s="18" t="str">
        <f t="shared" ca="1" si="31"/>
        <v>No</v>
      </c>
      <c r="U99" s="18" t="str" cm="1">
        <f t="array" aca="1" ref="U99" ca="1">_xlfn.IFS(T99="Talent", VLOOKUP(AP99,$AS:$BF,14), T99="No", "", 1=1, VLOOKUP(AP99,$AS:$BF,13))</f>
        <v/>
      </c>
      <c r="V99" s="1"/>
      <c r="W99" s="1"/>
      <c r="X99" s="1">
        <f t="shared" ref="X99:AM101" ca="1" si="36">RANDBETWEEN(1,100)</f>
        <v>34</v>
      </c>
      <c r="Y99" s="1">
        <f t="shared" ca="1" si="36"/>
        <v>77</v>
      </c>
      <c r="Z99" s="1">
        <f t="shared" ca="1" si="36"/>
        <v>49</v>
      </c>
      <c r="AA99" s="1">
        <f t="shared" ca="1" si="36"/>
        <v>74</v>
      </c>
      <c r="AB99" s="1">
        <f t="shared" ca="1" si="36"/>
        <v>69</v>
      </c>
      <c r="AC99" s="1">
        <f t="shared" ca="1" si="36"/>
        <v>64</v>
      </c>
      <c r="AD99" s="1">
        <f t="shared" ca="1" si="36"/>
        <v>56</v>
      </c>
      <c r="AE99" s="1">
        <f t="shared" ca="1" si="36"/>
        <v>3</v>
      </c>
      <c r="AF99" s="1">
        <f t="shared" ca="1" si="36"/>
        <v>75</v>
      </c>
      <c r="AG99" s="1">
        <f t="shared" ca="1" si="36"/>
        <v>79</v>
      </c>
      <c r="AH99" s="1"/>
      <c r="AI99" s="1">
        <f t="shared" ca="1" si="36"/>
        <v>79</v>
      </c>
      <c r="AJ99" s="1">
        <f t="shared" ca="1" si="36"/>
        <v>87</v>
      </c>
      <c r="AK99" s="1">
        <f t="shared" ca="1" si="36"/>
        <v>83</v>
      </c>
      <c r="AL99" s="1">
        <f t="shared" ca="1" si="36"/>
        <v>76</v>
      </c>
      <c r="AM99" s="1">
        <f t="shared" ca="1" si="36"/>
        <v>24</v>
      </c>
      <c r="AN99" s="1">
        <f t="shared" ca="1" si="27"/>
        <v>36</v>
      </c>
      <c r="AO99" s="1">
        <f t="shared" ca="1" si="27"/>
        <v>91</v>
      </c>
      <c r="AP99" s="1">
        <f t="shared" ca="1" si="27"/>
        <v>34</v>
      </c>
      <c r="AQ99" s="1"/>
      <c r="AR99" s="1"/>
      <c r="AS99">
        <v>99</v>
      </c>
      <c r="AT99" t="s">
        <v>681</v>
      </c>
      <c r="AU99" s="9" t="s">
        <v>559</v>
      </c>
      <c r="AV99" s="9" t="s">
        <v>558</v>
      </c>
      <c r="AW99" s="9" t="s">
        <v>688</v>
      </c>
      <c r="AX99" s="9" t="s">
        <v>197</v>
      </c>
      <c r="AY99" s="16">
        <f ca="1">RANDBETWEEN(1,6)</f>
        <v>3</v>
      </c>
      <c r="AZ99" s="9" t="s">
        <v>694</v>
      </c>
      <c r="BA99" s="9" t="s">
        <v>596</v>
      </c>
      <c r="BB99" s="9" t="s">
        <v>700</v>
      </c>
      <c r="BC99" s="9" t="s">
        <v>717</v>
      </c>
      <c r="BD99" s="9" t="s">
        <v>593</v>
      </c>
      <c r="BE99" s="9" t="s">
        <v>720</v>
      </c>
      <c r="BF99" s="9" t="s">
        <v>665</v>
      </c>
      <c r="BK99" s="33">
        <f t="shared" ca="1" si="34"/>
        <v>88</v>
      </c>
      <c r="BL99" s="33">
        <f t="shared" ca="1" si="34"/>
        <v>49</v>
      </c>
      <c r="BM99" s="33">
        <f t="shared" ca="1" si="34"/>
        <v>98</v>
      </c>
      <c r="BN99" s="33">
        <f t="shared" ca="1" si="34"/>
        <v>17</v>
      </c>
      <c r="BO99" s="33">
        <f t="shared" ca="1" si="34"/>
        <v>1</v>
      </c>
      <c r="BP99" s="33">
        <f t="shared" ca="1" si="34"/>
        <v>89</v>
      </c>
      <c r="BQ99" s="33">
        <f t="shared" ca="1" si="34"/>
        <v>39</v>
      </c>
      <c r="BR99" s="33">
        <f t="shared" ca="1" si="34"/>
        <v>40</v>
      </c>
      <c r="BS99" s="33">
        <f t="shared" ca="1" si="34"/>
        <v>15</v>
      </c>
      <c r="BT99" s="33">
        <f t="shared" ca="1" si="34"/>
        <v>24</v>
      </c>
      <c r="BU99" s="33">
        <f t="shared" ca="1" si="34"/>
        <v>83</v>
      </c>
      <c r="BV99" s="33">
        <f t="shared" ca="1" si="34"/>
        <v>26</v>
      </c>
    </row>
    <row r="100" spans="1:76" s="33" customFormat="1" x14ac:dyDescent="0.3">
      <c r="A100" s="49">
        <v>99</v>
      </c>
      <c r="B100" s="18" t="str">
        <f t="shared" ca="1" si="21"/>
        <v>Bastard</v>
      </c>
      <c r="C100" s="18" t="str">
        <f t="shared" ca="1" si="22"/>
        <v>+2</v>
      </c>
      <c r="D100" s="18">
        <f t="shared" ca="1" si="23"/>
        <v>0</v>
      </c>
      <c r="E100" s="18" t="str">
        <f t="shared" ca="1" si="24"/>
        <v>Nil</v>
      </c>
      <c r="F100" s="18" t="str">
        <f t="shared" ca="1" si="25"/>
        <v>Nil</v>
      </c>
      <c r="G100" s="18" t="str">
        <f ca="1">IF(AB100&lt;=VLOOKUP(D100,'power prob array'!$A:$M,2), VLOOKUP(Swords!BK100,Swords!$AS:$BB,10), "")</f>
        <v/>
      </c>
      <c r="H100" s="18" t="str">
        <f ca="1">IF(AC100&lt;=VLOOKUP(D100,'power prob array'!$A:$M,3), VLOOKUP(Swords!BL100,Swords!$AS:$BB,10), "")</f>
        <v/>
      </c>
      <c r="I100" s="18" t="str">
        <f ca="1">IF(AD100&lt;=VLOOKUP(D100,'power prob array'!$A:$M,4), VLOOKUP(Swords!BM100,Swords!$AS:$BB,10), "")</f>
        <v/>
      </c>
      <c r="J100" s="18" t="str">
        <f ca="1">IF(AE100&lt;=VLOOKUP(D100,'power prob array'!$A:$M,5), VLOOKUP(Swords!BN100,Swords!$AS:$BB,10), "")</f>
        <v/>
      </c>
      <c r="K100" s="18" t="str">
        <f ca="1">IF(AF100&lt;=VLOOKUP(D100,'power prob array'!$A:$M,6), VLOOKUP(Swords!BO100,Swords!$AS:$BB,10), "")</f>
        <v/>
      </c>
      <c r="L100" s="18" t="str">
        <f ca="1">IF(AG100&lt;=VLOOKUP(D100,'power prob array'!$A:$M,7), VLOOKUP(Swords!BP100,Swords!$AS:$BB,10), "")</f>
        <v/>
      </c>
      <c r="M100" s="18" t="str">
        <f t="shared" ca="1" si="26"/>
        <v>No</v>
      </c>
      <c r="N100" s="18" t="str">
        <f ca="1">IF(AI100&lt;=VLOOKUP(D100,'power prob array'!$A:$M,8), VLOOKUP(Swords!BQ100,Swords!$AS:$BC,11), "")</f>
        <v/>
      </c>
      <c r="O100" s="18" t="str">
        <f ca="1">IF(AJ100&lt;=VLOOKUP(D100,'power prob array'!$A:$M,9), VLOOKUP(Swords!BR100,Swords!$AS:$BC,11), "")</f>
        <v/>
      </c>
      <c r="P100" s="18" t="str">
        <f ca="1">IF(AK100&lt;=VLOOKUP(D100,'power prob array'!$A:$M,10), VLOOKUP(Swords!BS100,Swords!$AS:$BC,11), "")</f>
        <v/>
      </c>
      <c r="Q100" s="18" t="str">
        <f ca="1">IF(AL100&lt;=VLOOKUP(D100,'power prob array'!$A:$M,11), VLOOKUP(Swords!BT100,Swords!$AS:$BC,11), "")</f>
        <v/>
      </c>
      <c r="R100" s="18" t="str">
        <f ca="1">IF(AM100&lt;=VLOOKUP(D100,'power prob array'!$A:$M,12), VLOOKUP(Swords!BU100,Swords!$AS:$BC,11), "")</f>
        <v/>
      </c>
      <c r="S100" s="18" t="str">
        <f ca="1">IF(AN100&lt;=VLOOKUP(D100,'power prob array'!$A:$M,13), VLOOKUP(Swords!BV100,Swords!$AS:$BC,11), "")</f>
        <v/>
      </c>
      <c r="T100" s="18" t="str">
        <f t="shared" ca="1" si="31"/>
        <v>+1</v>
      </c>
      <c r="U100" s="18" t="str" cm="1">
        <f t="array" aca="1" ref="U100" ca="1">_xlfn.IFS(T100="Talent", VLOOKUP(AP100,$AS:$BF,14), T100="No", "", 1=1, VLOOKUP(AP100,$AS:$BF,13))</f>
        <v>Enchanted Monsters</v>
      </c>
      <c r="V100" s="1"/>
      <c r="W100" s="1"/>
      <c r="X100" s="1">
        <f t="shared" ca="1" si="36"/>
        <v>95</v>
      </c>
      <c r="Y100" s="1">
        <f t="shared" ca="1" si="36"/>
        <v>84</v>
      </c>
      <c r="Z100" s="1">
        <f t="shared" ca="1" si="36"/>
        <v>6</v>
      </c>
      <c r="AA100" s="1">
        <f t="shared" ca="1" si="36"/>
        <v>15</v>
      </c>
      <c r="AB100" s="1">
        <f t="shared" ca="1" si="36"/>
        <v>75</v>
      </c>
      <c r="AC100" s="1">
        <f t="shared" ca="1" si="36"/>
        <v>92</v>
      </c>
      <c r="AD100" s="1">
        <f t="shared" ca="1" si="36"/>
        <v>42</v>
      </c>
      <c r="AE100" s="1">
        <f t="shared" ca="1" si="36"/>
        <v>95</v>
      </c>
      <c r="AF100" s="1">
        <f t="shared" ca="1" si="36"/>
        <v>32</v>
      </c>
      <c r="AG100" s="1">
        <f t="shared" ca="1" si="36"/>
        <v>19</v>
      </c>
      <c r="AH100" s="1"/>
      <c r="AI100" s="1">
        <f t="shared" ca="1" si="36"/>
        <v>95</v>
      </c>
      <c r="AJ100" s="1">
        <f t="shared" ca="1" si="36"/>
        <v>60</v>
      </c>
      <c r="AK100" s="1">
        <f t="shared" ca="1" si="36"/>
        <v>26</v>
      </c>
      <c r="AL100" s="1">
        <f t="shared" ca="1" si="36"/>
        <v>77</v>
      </c>
      <c r="AM100" s="1">
        <f t="shared" ca="1" si="36"/>
        <v>61</v>
      </c>
      <c r="AN100" s="1">
        <f t="shared" ca="1" si="27"/>
        <v>97</v>
      </c>
      <c r="AO100" s="1">
        <f t="shared" ca="1" si="27"/>
        <v>8</v>
      </c>
      <c r="AP100" s="1">
        <f t="shared" ca="1" si="27"/>
        <v>21</v>
      </c>
      <c r="AQ100" s="1"/>
      <c r="AR100" s="1"/>
      <c r="AS100" s="33">
        <v>100</v>
      </c>
      <c r="AT100" s="33" t="s">
        <v>681</v>
      </c>
      <c r="AU100" s="34" t="s">
        <v>559</v>
      </c>
      <c r="AV100" s="34" t="s">
        <v>559</v>
      </c>
      <c r="AW100" s="34" t="s">
        <v>689</v>
      </c>
      <c r="AX100" s="34" t="s">
        <v>197</v>
      </c>
      <c r="AY100" s="35">
        <f ca="1">RANDBETWEEN(1,4)+RANDBETWEEN(1,4)</f>
        <v>2</v>
      </c>
      <c r="AZ100" s="34" t="s">
        <v>694</v>
      </c>
      <c r="BA100" s="34" t="s">
        <v>596</v>
      </c>
      <c r="BB100" s="34" t="s">
        <v>697</v>
      </c>
      <c r="BC100" s="34" t="s">
        <v>226</v>
      </c>
      <c r="BD100" s="34" t="s">
        <v>593</v>
      </c>
      <c r="BE100" s="34" t="s">
        <v>720</v>
      </c>
      <c r="BF100" s="34" t="s">
        <v>666</v>
      </c>
      <c r="BK100" s="33">
        <f t="shared" ca="1" si="34"/>
        <v>28</v>
      </c>
      <c r="BL100" s="33">
        <f t="shared" ca="1" si="34"/>
        <v>100</v>
      </c>
      <c r="BM100" s="33">
        <f t="shared" ca="1" si="34"/>
        <v>75</v>
      </c>
      <c r="BN100" s="33">
        <f t="shared" ca="1" si="34"/>
        <v>1</v>
      </c>
      <c r="BO100" s="33">
        <f t="shared" ca="1" si="34"/>
        <v>60</v>
      </c>
      <c r="BP100" s="33">
        <f t="shared" ca="1" si="34"/>
        <v>29</v>
      </c>
      <c r="BQ100" s="33">
        <f t="shared" ca="1" si="34"/>
        <v>27</v>
      </c>
      <c r="BR100" s="33">
        <f t="shared" ca="1" si="34"/>
        <v>30</v>
      </c>
      <c r="BS100" s="33">
        <f t="shared" ca="1" si="34"/>
        <v>5</v>
      </c>
      <c r="BT100" s="33">
        <f t="shared" ca="1" si="34"/>
        <v>19</v>
      </c>
      <c r="BU100" s="33">
        <f t="shared" ca="1" si="34"/>
        <v>65</v>
      </c>
      <c r="BV100" s="33">
        <f t="shared" ca="1" si="34"/>
        <v>88</v>
      </c>
      <c r="BX100" s="36"/>
    </row>
    <row r="101" spans="1:76" x14ac:dyDescent="0.3">
      <c r="A101" s="49">
        <v>100</v>
      </c>
      <c r="B101" s="19" t="str">
        <f t="shared" ca="1" si="21"/>
        <v>Normal</v>
      </c>
      <c r="C101" s="19" t="str">
        <f t="shared" ca="1" si="22"/>
        <v>+1</v>
      </c>
      <c r="D101" s="19">
        <f t="shared" ca="1" si="23"/>
        <v>0</v>
      </c>
      <c r="E101" s="19" t="str">
        <f t="shared" ca="1" si="24"/>
        <v>Nil</v>
      </c>
      <c r="F101" s="19" t="str">
        <f t="shared" ca="1" si="25"/>
        <v>Nil</v>
      </c>
      <c r="G101" s="19" t="str">
        <f ca="1">IF(AB101&lt;=VLOOKUP(D101,'power prob array'!$A:$M,2), VLOOKUP(Swords!BK101,Swords!$AS:$BB,10), "")</f>
        <v/>
      </c>
      <c r="H101" s="19" t="str">
        <f ca="1">IF(AC101&lt;=VLOOKUP(D101,'power prob array'!$A:$M,3), VLOOKUP(Swords!BL101,Swords!$AS:$BB,10), "")</f>
        <v/>
      </c>
      <c r="I101" s="19" t="str">
        <f ca="1">IF(AD101&lt;=VLOOKUP(D101,'power prob array'!$A:$M,4), VLOOKUP(Swords!BM101,Swords!$AS:$BB,10), "")</f>
        <v/>
      </c>
      <c r="J101" s="19" t="str">
        <f ca="1">IF(AE101&lt;=VLOOKUP(D101,'power prob array'!$A:$M,5), VLOOKUP(Swords!BN101,Swords!$AS:$BB,10), "")</f>
        <v/>
      </c>
      <c r="K101" s="19" t="str">
        <f ca="1">IF(AF101&lt;=VLOOKUP(D101,'power prob array'!$A:$M,6), VLOOKUP(Swords!BO101,Swords!$AS:$BB,10), "")</f>
        <v/>
      </c>
      <c r="L101" s="19" t="str">
        <f ca="1">IF(AG101&lt;=VLOOKUP(D101,'power prob array'!$A:$M,7), VLOOKUP(Swords!BP101,Swords!$AS:$BB,10), "")</f>
        <v/>
      </c>
      <c r="M101" s="19" t="str">
        <f t="shared" ca="1" si="26"/>
        <v>No</v>
      </c>
      <c r="N101" s="19" t="str">
        <f ca="1">IF(AI101&lt;=VLOOKUP(D101,'power prob array'!$A:$M,8), VLOOKUP(Swords!BQ101,Swords!$AS:$BC,11), "")</f>
        <v/>
      </c>
      <c r="O101" s="19" t="str">
        <f ca="1">IF(AJ101&lt;=VLOOKUP(D101,'power prob array'!$A:$M,9), VLOOKUP(Swords!BR101,Swords!$AS:$BC,11), "")</f>
        <v/>
      </c>
      <c r="P101" s="19" t="str">
        <f ca="1">IF(AK101&lt;=VLOOKUP(D101,'power prob array'!$A:$M,10), VLOOKUP(Swords!BS101,Swords!$AS:$BC,11), "")</f>
        <v/>
      </c>
      <c r="Q101" s="19" t="str">
        <f ca="1">IF(AL101&lt;=VLOOKUP(D101,'power prob array'!$A:$M,11), VLOOKUP(Swords!BT101,Swords!$AS:$BC,11), "")</f>
        <v/>
      </c>
      <c r="R101" s="19" t="str">
        <f ca="1">IF(AM101&lt;=VLOOKUP(D101,'power prob array'!$A:$M,12), VLOOKUP(Swords!BU101,Swords!$AS:$BC,11), "")</f>
        <v/>
      </c>
      <c r="S101" s="19" t="str">
        <f ca="1">IF(AN101&lt;=VLOOKUP(D101,'power prob array'!$A:$M,13), VLOOKUP(Swords!BV101,Swords!$AS:$BC,11), "")</f>
        <v/>
      </c>
      <c r="T101" s="18" t="str">
        <f t="shared" ca="1" si="31"/>
        <v>+2</v>
      </c>
      <c r="U101" s="18" t="str" cm="1">
        <f t="array" aca="1" ref="U101" ca="1">_xlfn.IFS(T101="Talent", VLOOKUP(AP101,$AS:$BF,14), T101="No", "", 1=1, VLOOKUP(AP101,$AS:$BF,13))</f>
        <v>Lycanthropes</v>
      </c>
      <c r="V101" s="1"/>
      <c r="W101" s="1"/>
      <c r="X101" s="1">
        <f t="shared" ca="1" si="36"/>
        <v>15</v>
      </c>
      <c r="Y101" s="1">
        <f t="shared" ca="1" si="36"/>
        <v>57</v>
      </c>
      <c r="Z101" s="1">
        <f t="shared" ca="1" si="36"/>
        <v>81</v>
      </c>
      <c r="AA101" s="1">
        <f t="shared" ca="1" si="36"/>
        <v>70</v>
      </c>
      <c r="AB101" s="1">
        <f t="shared" ca="1" si="36"/>
        <v>31</v>
      </c>
      <c r="AC101" s="1">
        <f t="shared" ca="1" si="36"/>
        <v>60</v>
      </c>
      <c r="AD101" s="1">
        <f t="shared" ca="1" si="36"/>
        <v>3</v>
      </c>
      <c r="AE101" s="1">
        <f t="shared" ca="1" si="36"/>
        <v>80</v>
      </c>
      <c r="AF101" s="1">
        <f t="shared" ca="1" si="36"/>
        <v>74</v>
      </c>
      <c r="AG101" s="1">
        <f t="shared" ca="1" si="36"/>
        <v>79</v>
      </c>
      <c r="AH101" s="1"/>
      <c r="AI101" s="1">
        <f t="shared" ca="1" si="36"/>
        <v>53</v>
      </c>
      <c r="AJ101" s="1">
        <f t="shared" ca="1" si="36"/>
        <v>18</v>
      </c>
      <c r="AK101" s="1">
        <f t="shared" ca="1" si="36"/>
        <v>58</v>
      </c>
      <c r="AL101" s="1">
        <f t="shared" ca="1" si="36"/>
        <v>14</v>
      </c>
      <c r="AM101" s="1">
        <f t="shared" ca="1" si="36"/>
        <v>51</v>
      </c>
      <c r="AN101" s="1">
        <f t="shared" ref="AN101:AP101" ca="1" si="37">RANDBETWEEN(1,100)</f>
        <v>87</v>
      </c>
      <c r="AO101" s="1">
        <f t="shared" ca="1" si="37"/>
        <v>9</v>
      </c>
      <c r="AP101" s="1">
        <f t="shared" ca="1" si="37"/>
        <v>40</v>
      </c>
      <c r="AQ101" s="1"/>
      <c r="AR101" s="1"/>
    </row>
    <row r="102" spans="1:7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7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7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7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7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7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7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7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7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7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</sheetData>
  <phoneticPr fontId="1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F7DA-954E-4A4F-9A59-7015E15C69CD}">
  <dimension ref="A1:AG100"/>
  <sheetViews>
    <sheetView zoomScale="110" zoomScaleNormal="110" workbookViewId="0">
      <selection activeCell="I20" sqref="I20"/>
    </sheetView>
  </sheetViews>
  <sheetFormatPr defaultRowHeight="14.4" x14ac:dyDescent="0.3"/>
  <cols>
    <col min="1" max="1" width="4.6640625" customWidth="1"/>
    <col min="2" max="2" width="25.88671875" customWidth="1"/>
    <col min="3" max="3" width="13.77734375" customWidth="1"/>
    <col min="4" max="4" width="18.33203125" customWidth="1"/>
    <col min="5" max="5" width="25.33203125" customWidth="1"/>
    <col min="8" max="8" width="11.109375" customWidth="1"/>
    <col min="9" max="9" width="21.33203125" customWidth="1"/>
    <col min="10" max="10" width="20.21875" customWidth="1"/>
    <col min="11" max="11" width="14.5546875" customWidth="1"/>
    <col min="24" max="24" width="37.109375" customWidth="1"/>
    <col min="26" max="28" width="8.88671875" style="9"/>
    <col min="29" max="29" width="28.88671875" style="9" customWidth="1"/>
    <col min="30" max="30" width="8.88671875" style="9"/>
    <col min="31" max="31" width="24" customWidth="1"/>
  </cols>
  <sheetData>
    <row r="1" spans="1:33" ht="15" thickBot="1" x14ac:dyDescent="0.35">
      <c r="A1" s="24" t="s">
        <v>156</v>
      </c>
      <c r="B1" s="24" t="s">
        <v>158</v>
      </c>
      <c r="C1" s="25" t="s">
        <v>743</v>
      </c>
      <c r="D1" s="25" t="s">
        <v>744</v>
      </c>
      <c r="E1" s="26" t="s">
        <v>667</v>
      </c>
      <c r="F1" s="1"/>
      <c r="G1" s="1" t="s">
        <v>670</v>
      </c>
      <c r="H1" s="1" t="s">
        <v>745</v>
      </c>
      <c r="I1" s="1" t="s">
        <v>746</v>
      </c>
      <c r="J1" s="1" t="s">
        <v>747</v>
      </c>
      <c r="K1" s="1" t="s">
        <v>748</v>
      </c>
      <c r="L1" s="4"/>
      <c r="W1">
        <v>1</v>
      </c>
      <c r="X1" t="s">
        <v>722</v>
      </c>
      <c r="Y1" t="s">
        <v>9</v>
      </c>
      <c r="Z1" s="9" t="s">
        <v>555</v>
      </c>
      <c r="AA1" s="9" t="s">
        <v>555</v>
      </c>
      <c r="AB1" s="9" t="s">
        <v>555</v>
      </c>
      <c r="AC1" s="9" t="s">
        <v>635</v>
      </c>
      <c r="AD1" s="9" t="s">
        <v>555</v>
      </c>
      <c r="AE1" t="s">
        <v>650</v>
      </c>
    </row>
    <row r="2" spans="1:33" x14ac:dyDescent="0.3">
      <c r="A2" s="27">
        <v>1</v>
      </c>
      <c r="B2" s="27" t="str">
        <f ca="1">VLOOKUP(G2,$W:$AE,2)</f>
        <v>Club</v>
      </c>
      <c r="C2" s="27" t="str">
        <f ca="1">VLOOKUP(H2, $W:$AE, VLOOKUP(VLOOKUP(G2,$W:$AE,3), $AF$9:$AG$11,2))</f>
        <v>+1</v>
      </c>
      <c r="D2" s="27" t="str">
        <f ca="1">IF(I2&lt;=VLOOKUP(C2,$AF$3:$AG$7,2), VLOOKUP(J2,$W:$AE,8), "No")</f>
        <v>+1</v>
      </c>
      <c r="E2" s="27" t="str" cm="1">
        <f t="array" aca="1" ref="E2" ca="1">_xlfn.IFS(D2="No", "", D2 = "Talent", VLOOKUP(K2,$W:$AE,9), 1=1, VLOOKUP(K2,$W:$AE,7))</f>
        <v>Reptiles and Dinosaurs</v>
      </c>
      <c r="F2" s="1"/>
      <c r="G2" s="1">
        <f ca="1">RANDBETWEEN(1,100)</f>
        <v>25</v>
      </c>
      <c r="H2" s="1">
        <f t="shared" ref="H2:K17" ca="1" si="0">RANDBETWEEN(1,100)</f>
        <v>26</v>
      </c>
      <c r="I2" s="1">
        <f t="shared" ca="1" si="0"/>
        <v>35</v>
      </c>
      <c r="J2" s="1">
        <f t="shared" ca="1" si="0"/>
        <v>26</v>
      </c>
      <c r="K2" s="1">
        <f t="shared" ca="1" si="0"/>
        <v>61</v>
      </c>
      <c r="L2" s="4"/>
      <c r="W2">
        <v>2</v>
      </c>
      <c r="X2" t="s">
        <v>722</v>
      </c>
      <c r="Y2" t="s">
        <v>9</v>
      </c>
      <c r="Z2" s="9" t="s">
        <v>555</v>
      </c>
      <c r="AA2" s="9" t="s">
        <v>555</v>
      </c>
      <c r="AB2" s="9" t="s">
        <v>555</v>
      </c>
      <c r="AC2" s="9" t="s">
        <v>635</v>
      </c>
      <c r="AD2" s="9" t="s">
        <v>555</v>
      </c>
      <c r="AE2" t="s">
        <v>650</v>
      </c>
    </row>
    <row r="3" spans="1:33" x14ac:dyDescent="0.3">
      <c r="A3">
        <v>2</v>
      </c>
      <c r="B3" t="str">
        <f t="shared" ref="B3:B20" ca="1" si="1">VLOOKUP(G3,$W:$AE,2)</f>
        <v>Polearm</v>
      </c>
      <c r="C3" t="str">
        <f t="shared" ref="C3:C20" ca="1" si="2">VLOOKUP(H3, $W:$AE, VLOOKUP(VLOOKUP(G3,$W:$AE,3), $AF$9:$AG$11,2))</f>
        <v>+1</v>
      </c>
      <c r="D3" s="4" t="str">
        <f t="shared" ref="D3:D21" ca="1" si="3">IF(I3&lt;=VLOOKUP(C3,$AF$3:$AG$7,2), VLOOKUP(J3,$W:$AE,8), "No")</f>
        <v>No</v>
      </c>
      <c r="E3" s="4" t="str" cm="1">
        <f t="array" aca="1" ref="E3" ca="1">_xlfn.IFS(D3="No", "", D3 = "Talent", VLOOKUP(K3,$W:$AE,9), 1=1, VLOOKUP(K3,$W:$AE,7))</f>
        <v/>
      </c>
      <c r="F3" s="1"/>
      <c r="G3" s="1">
        <f t="shared" ref="G3:K21" ca="1" si="4">RANDBETWEEN(1,100)</f>
        <v>80</v>
      </c>
      <c r="H3" s="1">
        <f t="shared" ca="1" si="0"/>
        <v>20</v>
      </c>
      <c r="I3" s="1">
        <f t="shared" ca="1" si="0"/>
        <v>92</v>
      </c>
      <c r="J3" s="1">
        <f t="shared" ca="1" si="0"/>
        <v>26</v>
      </c>
      <c r="K3" s="1">
        <f t="shared" ca="1" si="0"/>
        <v>85</v>
      </c>
      <c r="L3" s="4"/>
      <c r="W3">
        <v>3</v>
      </c>
      <c r="X3" t="s">
        <v>722</v>
      </c>
      <c r="Y3" t="s">
        <v>9</v>
      </c>
      <c r="Z3" s="9" t="s">
        <v>555</v>
      </c>
      <c r="AA3" s="9" t="s">
        <v>555</v>
      </c>
      <c r="AB3" s="9" t="s">
        <v>555</v>
      </c>
      <c r="AC3" s="9" t="s">
        <v>635</v>
      </c>
      <c r="AD3" s="9" t="s">
        <v>555</v>
      </c>
      <c r="AE3" t="s">
        <v>650</v>
      </c>
      <c r="AF3" s="9" t="s">
        <v>555</v>
      </c>
      <c r="AG3">
        <v>40</v>
      </c>
    </row>
    <row r="4" spans="1:33" x14ac:dyDescent="0.3">
      <c r="A4" s="27">
        <v>3</v>
      </c>
      <c r="B4" s="27" t="str">
        <f t="shared" ca="1" si="1"/>
        <v>Hammer, War</v>
      </c>
      <c r="C4" s="27" t="str">
        <f t="shared" ca="1" si="2"/>
        <v>+2</v>
      </c>
      <c r="D4" s="27" t="str">
        <f t="shared" ca="1" si="3"/>
        <v>No</v>
      </c>
      <c r="E4" s="27" t="str" cm="1">
        <f t="array" aca="1" ref="E4" ca="1">_xlfn.IFS(D4="No", "", D4 = "Talent", VLOOKUP(K4,$W:$AE,9), 1=1, VLOOKUP(K4,$W:$AE,7))</f>
        <v/>
      </c>
      <c r="F4" s="1"/>
      <c r="G4" s="1">
        <f t="shared" ca="1" si="4"/>
        <v>49</v>
      </c>
      <c r="H4" s="1">
        <f t="shared" ca="1" si="0"/>
        <v>70</v>
      </c>
      <c r="I4" s="1">
        <f t="shared" ca="1" si="0"/>
        <v>62</v>
      </c>
      <c r="J4" s="1">
        <f t="shared" ca="1" si="0"/>
        <v>58</v>
      </c>
      <c r="K4" s="1">
        <f t="shared" ca="1" si="0"/>
        <v>6</v>
      </c>
      <c r="L4" s="4"/>
      <c r="W4">
        <v>4</v>
      </c>
      <c r="X4" t="s">
        <v>722</v>
      </c>
      <c r="Y4" t="s">
        <v>9</v>
      </c>
      <c r="Z4" s="9" t="s">
        <v>555</v>
      </c>
      <c r="AA4" s="9" t="s">
        <v>555</v>
      </c>
      <c r="AB4" s="9" t="s">
        <v>555</v>
      </c>
      <c r="AC4" s="9" t="s">
        <v>635</v>
      </c>
      <c r="AD4" s="9" t="s">
        <v>555</v>
      </c>
      <c r="AE4" t="s">
        <v>650</v>
      </c>
      <c r="AF4" s="9" t="s">
        <v>556</v>
      </c>
      <c r="AG4">
        <v>30</v>
      </c>
    </row>
    <row r="5" spans="1:33" x14ac:dyDescent="0.3">
      <c r="A5" s="4">
        <v>4</v>
      </c>
      <c r="B5" t="str">
        <f t="shared" ca="1" si="1"/>
        <v>Blackjack</v>
      </c>
      <c r="C5" t="str">
        <f t="shared" ca="1" si="2"/>
        <v>+2</v>
      </c>
      <c r="D5" s="4" t="str">
        <f t="shared" ca="1" si="3"/>
        <v>No</v>
      </c>
      <c r="E5" s="4" t="str" cm="1">
        <f t="array" aca="1" ref="E5" ca="1">_xlfn.IFS(D5="No", "", D5 = "Talent", VLOOKUP(K5,$W:$AE,9), 1=1, VLOOKUP(K5,$W:$AE,7))</f>
        <v/>
      </c>
      <c r="F5" s="1"/>
      <c r="G5" s="1">
        <f t="shared" ca="1" si="4"/>
        <v>18</v>
      </c>
      <c r="H5" s="1">
        <f t="shared" ca="1" si="0"/>
        <v>68</v>
      </c>
      <c r="I5" s="1">
        <f t="shared" ca="1" si="0"/>
        <v>95</v>
      </c>
      <c r="J5" s="1">
        <f t="shared" ca="1" si="0"/>
        <v>58</v>
      </c>
      <c r="K5" s="1">
        <f t="shared" ca="1" si="0"/>
        <v>20</v>
      </c>
      <c r="L5" s="4"/>
      <c r="W5">
        <v>5</v>
      </c>
      <c r="X5" t="s">
        <v>722</v>
      </c>
      <c r="Y5" t="s">
        <v>9</v>
      </c>
      <c r="Z5" s="9" t="s">
        <v>555</v>
      </c>
      <c r="AA5" s="9" t="s">
        <v>555</v>
      </c>
      <c r="AB5" s="9" t="s">
        <v>555</v>
      </c>
      <c r="AC5" s="9" t="s">
        <v>635</v>
      </c>
      <c r="AD5" s="9" t="s">
        <v>555</v>
      </c>
      <c r="AE5" t="s">
        <v>650</v>
      </c>
      <c r="AF5" s="9" t="s">
        <v>557</v>
      </c>
      <c r="AG5">
        <v>20</v>
      </c>
    </row>
    <row r="6" spans="1:33" x14ac:dyDescent="0.3">
      <c r="A6" s="27">
        <v>5</v>
      </c>
      <c r="B6" s="27" t="str">
        <f t="shared" ca="1" si="1"/>
        <v>Axe, Hand (Returning)</v>
      </c>
      <c r="C6" s="27" t="str">
        <f t="shared" ca="1" si="2"/>
        <v>+1</v>
      </c>
      <c r="D6" s="27" t="str">
        <f t="shared" ca="1" si="3"/>
        <v>No</v>
      </c>
      <c r="E6" s="27" t="str" cm="1">
        <f t="array" aca="1" ref="E6" ca="1">_xlfn.IFS(D6="No", "", D6 = "Talent", VLOOKUP(K6,$W:$AE,9), 1=1, VLOOKUP(K6,$W:$AE,7))</f>
        <v/>
      </c>
      <c r="F6" s="1"/>
      <c r="G6" s="1">
        <f t="shared" ca="1" si="4"/>
        <v>16</v>
      </c>
      <c r="H6" s="1">
        <f t="shared" ca="1" si="0"/>
        <v>50</v>
      </c>
      <c r="I6" s="1">
        <f t="shared" ca="1" si="0"/>
        <v>72</v>
      </c>
      <c r="J6" s="1">
        <f t="shared" ca="1" si="0"/>
        <v>83</v>
      </c>
      <c r="K6" s="1">
        <f t="shared" ca="1" si="0"/>
        <v>2</v>
      </c>
      <c r="L6" s="4"/>
      <c r="W6">
        <v>6</v>
      </c>
      <c r="X6" t="s">
        <v>722</v>
      </c>
      <c r="Y6" t="s">
        <v>9</v>
      </c>
      <c r="Z6" s="9" t="s">
        <v>555</v>
      </c>
      <c r="AA6" s="9" t="s">
        <v>555</v>
      </c>
      <c r="AB6" s="9" t="s">
        <v>555</v>
      </c>
      <c r="AC6" s="9" t="s">
        <v>635</v>
      </c>
      <c r="AD6" s="9" t="s">
        <v>555</v>
      </c>
      <c r="AE6" t="s">
        <v>617</v>
      </c>
      <c r="AF6" s="9" t="s">
        <v>558</v>
      </c>
      <c r="AG6">
        <v>15</v>
      </c>
    </row>
    <row r="7" spans="1:33" x14ac:dyDescent="0.3">
      <c r="A7" s="4">
        <v>6</v>
      </c>
      <c r="B7" t="str">
        <f t="shared" ca="1" si="1"/>
        <v>Mace</v>
      </c>
      <c r="C7" t="str">
        <f t="shared" ca="1" si="2"/>
        <v>+1</v>
      </c>
      <c r="D7" s="4" t="str">
        <f t="shared" ca="1" si="3"/>
        <v>No</v>
      </c>
      <c r="E7" s="4" t="str" cm="1">
        <f t="array" aca="1" ref="E7" ca="1">_xlfn.IFS(D7="No", "", D7 = "Talent", VLOOKUP(K7,$W:$AE,9), 1=1, VLOOKUP(K7,$W:$AE,7))</f>
        <v/>
      </c>
      <c r="F7" s="1"/>
      <c r="G7" s="1">
        <f t="shared" ca="1" si="4"/>
        <v>65</v>
      </c>
      <c r="H7" s="1">
        <f t="shared" ca="1" si="0"/>
        <v>38</v>
      </c>
      <c r="I7" s="1">
        <f t="shared" ca="1" si="0"/>
        <v>92</v>
      </c>
      <c r="J7" s="1">
        <f t="shared" ca="1" si="0"/>
        <v>19</v>
      </c>
      <c r="K7" s="1">
        <f t="shared" ca="1" si="0"/>
        <v>8</v>
      </c>
      <c r="L7" s="4"/>
      <c r="W7">
        <v>7</v>
      </c>
      <c r="X7" t="s">
        <v>722</v>
      </c>
      <c r="Y7" t="s">
        <v>9</v>
      </c>
      <c r="Z7" s="9" t="s">
        <v>555</v>
      </c>
      <c r="AA7" s="9" t="s">
        <v>555</v>
      </c>
      <c r="AB7" s="9" t="s">
        <v>555</v>
      </c>
      <c r="AC7" s="9" t="s">
        <v>636</v>
      </c>
      <c r="AD7" s="9" t="s">
        <v>555</v>
      </c>
      <c r="AE7" t="s">
        <v>617</v>
      </c>
      <c r="AF7" s="9" t="s">
        <v>559</v>
      </c>
      <c r="AG7">
        <v>10</v>
      </c>
    </row>
    <row r="8" spans="1:33" x14ac:dyDescent="0.3">
      <c r="A8" s="27">
        <v>7</v>
      </c>
      <c r="B8" s="27" t="str">
        <f t="shared" ca="1" si="1"/>
        <v>Dagger</v>
      </c>
      <c r="C8" s="27" t="str">
        <f t="shared" ca="1" si="2"/>
        <v>+3</v>
      </c>
      <c r="D8" s="27" t="str">
        <f t="shared" ca="1" si="3"/>
        <v>No</v>
      </c>
      <c r="E8" s="27" t="str" cm="1">
        <f t="array" aca="1" ref="E8" ca="1">_xlfn.IFS(D8="No", "", D8 = "Talent", VLOOKUP(K8,$W:$AE,9), 1=1, VLOOKUP(K8,$W:$AE,7))</f>
        <v/>
      </c>
      <c r="F8" s="1"/>
      <c r="G8" s="1">
        <f t="shared" ca="1" si="4"/>
        <v>40</v>
      </c>
      <c r="H8" s="1">
        <f t="shared" ca="1" si="0"/>
        <v>79</v>
      </c>
      <c r="I8" s="1">
        <f t="shared" ca="1" si="0"/>
        <v>72</v>
      </c>
      <c r="J8" s="1">
        <f t="shared" ca="1" si="0"/>
        <v>93</v>
      </c>
      <c r="K8" s="1">
        <f t="shared" ca="1" si="0"/>
        <v>98</v>
      </c>
      <c r="L8" s="4"/>
      <c r="W8">
        <v>8</v>
      </c>
      <c r="X8" t="s">
        <v>722</v>
      </c>
      <c r="Y8" t="s">
        <v>9</v>
      </c>
      <c r="Z8" s="9" t="s">
        <v>555</v>
      </c>
      <c r="AA8" s="9" t="s">
        <v>555</v>
      </c>
      <c r="AB8" s="9" t="s">
        <v>555</v>
      </c>
      <c r="AC8" s="9" t="s">
        <v>636</v>
      </c>
      <c r="AD8" s="9" t="s">
        <v>555</v>
      </c>
      <c r="AE8" t="s">
        <v>617</v>
      </c>
      <c r="AF8" s="9"/>
    </row>
    <row r="9" spans="1:33" x14ac:dyDescent="0.3">
      <c r="A9">
        <v>8</v>
      </c>
      <c r="B9" t="str">
        <f t="shared" ca="1" si="1"/>
        <v>Dagger</v>
      </c>
      <c r="C9" t="str">
        <f t="shared" ca="1" si="2"/>
        <v>+1</v>
      </c>
      <c r="D9" s="4" t="str">
        <f t="shared" ca="1" si="3"/>
        <v>+2</v>
      </c>
      <c r="E9" s="4" t="str" cm="1">
        <f t="array" aca="1" ref="E9" ca="1">_xlfn.IFS(D9="No", "", D9 = "Talent", VLOOKUP(K9,$W:$AE,9), 1=1, VLOOKUP(K9,$W:$AE,7))</f>
        <v>Lycanthropes</v>
      </c>
      <c r="F9" s="1"/>
      <c r="G9" s="1">
        <f t="shared" ca="1" si="4"/>
        <v>36</v>
      </c>
      <c r="H9" s="1">
        <f t="shared" ca="1" si="0"/>
        <v>37</v>
      </c>
      <c r="I9" s="1">
        <f t="shared" ca="1" si="0"/>
        <v>29</v>
      </c>
      <c r="J9" s="1">
        <f t="shared" ca="1" si="0"/>
        <v>43</v>
      </c>
      <c r="K9" s="1">
        <f t="shared" ca="1" si="0"/>
        <v>41</v>
      </c>
      <c r="L9" s="4"/>
      <c r="W9">
        <v>9</v>
      </c>
      <c r="X9" t="s">
        <v>722</v>
      </c>
      <c r="Y9" t="s">
        <v>9</v>
      </c>
      <c r="Z9" s="9" t="s">
        <v>555</v>
      </c>
      <c r="AA9" s="9" t="s">
        <v>555</v>
      </c>
      <c r="AB9" s="9" t="s">
        <v>555</v>
      </c>
      <c r="AC9" s="9" t="s">
        <v>636</v>
      </c>
      <c r="AD9" s="9" t="s">
        <v>555</v>
      </c>
      <c r="AE9" t="s">
        <v>617</v>
      </c>
      <c r="AF9" s="9" t="s">
        <v>8</v>
      </c>
      <c r="AG9">
        <v>4</v>
      </c>
    </row>
    <row r="10" spans="1:33" x14ac:dyDescent="0.3">
      <c r="A10" s="27">
        <v>9</v>
      </c>
      <c r="B10" s="27" t="str">
        <f t="shared" ca="1" si="1"/>
        <v>Axe, Hand</v>
      </c>
      <c r="C10" s="27" t="str">
        <f t="shared" ca="1" si="2"/>
        <v>+1</v>
      </c>
      <c r="D10" s="27" t="str">
        <f t="shared" ca="1" si="3"/>
        <v>+1</v>
      </c>
      <c r="E10" s="27" t="str" cm="1">
        <f t="array" aca="1" ref="E10" ca="1">_xlfn.IFS(D10="No", "", D10 = "Talent", VLOOKUP(K10,$W:$AE,9), 1=1, VLOOKUP(K10,$W:$AE,7))</f>
        <v>Enchanted Monsters</v>
      </c>
      <c r="F10" s="1"/>
      <c r="G10" s="1">
        <f t="shared" ca="1" si="4"/>
        <v>12</v>
      </c>
      <c r="H10" s="1">
        <f t="shared" ca="1" si="0"/>
        <v>45</v>
      </c>
      <c r="I10" s="1">
        <f t="shared" ca="1" si="0"/>
        <v>24</v>
      </c>
      <c r="J10" s="1">
        <f t="shared" ca="1" si="0"/>
        <v>20</v>
      </c>
      <c r="K10" s="1">
        <f t="shared" ca="1" si="0"/>
        <v>24</v>
      </c>
      <c r="L10" s="4"/>
      <c r="W10">
        <v>10</v>
      </c>
      <c r="X10" t="s">
        <v>723</v>
      </c>
      <c r="Y10" t="s">
        <v>8</v>
      </c>
      <c r="Z10" s="9" t="s">
        <v>555</v>
      </c>
      <c r="AA10" s="9" t="s">
        <v>555</v>
      </c>
      <c r="AB10" s="9" t="s">
        <v>555</v>
      </c>
      <c r="AC10" s="9" t="s">
        <v>637</v>
      </c>
      <c r="AD10" s="9" t="s">
        <v>555</v>
      </c>
      <c r="AE10" t="s">
        <v>617</v>
      </c>
      <c r="AF10" s="9" t="s">
        <v>9</v>
      </c>
      <c r="AG10">
        <v>5</v>
      </c>
    </row>
    <row r="11" spans="1:33" x14ac:dyDescent="0.3">
      <c r="A11" s="4">
        <v>10</v>
      </c>
      <c r="B11" t="str">
        <f t="shared" ca="1" si="1"/>
        <v>Axe, Hand</v>
      </c>
      <c r="C11" t="str">
        <f t="shared" ca="1" si="2"/>
        <v>+3</v>
      </c>
      <c r="D11" s="4" t="str">
        <f t="shared" ca="1" si="3"/>
        <v>No</v>
      </c>
      <c r="E11" s="4" t="str" cm="1">
        <f t="array" aca="1" ref="E11" ca="1">_xlfn.IFS(D11="No", "", D11 = "Talent", VLOOKUP(K11,$W:$AE,9), 1=1, VLOOKUP(K11,$W:$AE,7))</f>
        <v/>
      </c>
      <c r="F11" s="1"/>
      <c r="G11" s="1">
        <f t="shared" ca="1" si="4"/>
        <v>15</v>
      </c>
      <c r="H11" s="1">
        <f t="shared" ca="1" si="0"/>
        <v>83</v>
      </c>
      <c r="I11" s="1">
        <f t="shared" ca="1" si="0"/>
        <v>68</v>
      </c>
      <c r="J11" s="1">
        <f t="shared" ca="1" si="0"/>
        <v>88</v>
      </c>
      <c r="K11" s="1">
        <f t="shared" ca="1" si="0"/>
        <v>70</v>
      </c>
      <c r="L11" s="4"/>
      <c r="W11">
        <v>11</v>
      </c>
      <c r="X11" t="s">
        <v>723</v>
      </c>
      <c r="Y11" t="s">
        <v>8</v>
      </c>
      <c r="Z11" s="9" t="s">
        <v>555</v>
      </c>
      <c r="AA11" s="9" t="s">
        <v>555</v>
      </c>
      <c r="AB11" s="9" t="s">
        <v>555</v>
      </c>
      <c r="AC11" s="9" t="s">
        <v>637</v>
      </c>
      <c r="AD11" s="9" t="s">
        <v>555</v>
      </c>
      <c r="AE11" t="s">
        <v>617</v>
      </c>
      <c r="AF11" s="9" t="s">
        <v>10</v>
      </c>
      <c r="AG11">
        <v>6</v>
      </c>
    </row>
    <row r="12" spans="1:33" x14ac:dyDescent="0.3">
      <c r="A12" s="27">
        <v>11</v>
      </c>
      <c r="B12" s="27" t="str">
        <f t="shared" ca="1" si="1"/>
        <v>Whip</v>
      </c>
      <c r="C12" s="27" t="str">
        <f t="shared" ca="1" si="2"/>
        <v>+1</v>
      </c>
      <c r="D12" s="27" t="str">
        <f t="shared" ca="1" si="3"/>
        <v>+2</v>
      </c>
      <c r="E12" s="27" t="str" cm="1">
        <f t="array" aca="1" ref="E12" ca="1">_xlfn.IFS(D12="No", "", D12 = "Talent", VLOOKUP(K12,$W:$AE,9), 1=1, VLOOKUP(K12,$W:$AE,7))</f>
        <v>Undead</v>
      </c>
      <c r="F12" s="1"/>
      <c r="G12" s="1">
        <f t="shared" ca="1" si="4"/>
        <v>98</v>
      </c>
      <c r="H12" s="1">
        <f t="shared" ca="1" si="0"/>
        <v>31</v>
      </c>
      <c r="I12" s="1">
        <f t="shared" ca="1" si="0"/>
        <v>29</v>
      </c>
      <c r="J12" s="1">
        <f t="shared" ca="1" si="0"/>
        <v>39</v>
      </c>
      <c r="K12" s="1">
        <f t="shared" ca="1" si="0"/>
        <v>78</v>
      </c>
      <c r="L12" s="4"/>
      <c r="W12">
        <v>12</v>
      </c>
      <c r="X12" t="s">
        <v>723</v>
      </c>
      <c r="Y12" t="s">
        <v>8</v>
      </c>
      <c r="Z12" s="9" t="s">
        <v>555</v>
      </c>
      <c r="AA12" s="9" t="s">
        <v>555</v>
      </c>
      <c r="AB12" s="9" t="s">
        <v>555</v>
      </c>
      <c r="AC12" s="9" t="s">
        <v>637</v>
      </c>
      <c r="AD12" s="9" t="s">
        <v>555</v>
      </c>
      <c r="AE12" t="s">
        <v>617</v>
      </c>
      <c r="AF12" s="9"/>
    </row>
    <row r="13" spans="1:33" x14ac:dyDescent="0.3">
      <c r="A13" s="4">
        <v>12</v>
      </c>
      <c r="B13" t="str">
        <f t="shared" ca="1" si="1"/>
        <v>Whip</v>
      </c>
      <c r="C13" t="str">
        <f t="shared" ca="1" si="2"/>
        <v>+4</v>
      </c>
      <c r="D13" s="4" t="str">
        <f t="shared" ca="1" si="3"/>
        <v>No</v>
      </c>
      <c r="E13" s="4" t="str" cm="1">
        <f t="array" aca="1" ref="E13" ca="1">_xlfn.IFS(D13="No", "", D13 = "Talent", VLOOKUP(K13,$W:$AE,9), 1=1, VLOOKUP(K13,$W:$AE,7))</f>
        <v/>
      </c>
      <c r="F13" s="1"/>
      <c r="G13" s="1">
        <f t="shared" ca="1" si="4"/>
        <v>98</v>
      </c>
      <c r="H13" s="1">
        <f t="shared" ca="1" si="0"/>
        <v>98</v>
      </c>
      <c r="I13" s="1">
        <f t="shared" ca="1" si="0"/>
        <v>51</v>
      </c>
      <c r="J13" s="1">
        <f t="shared" ca="1" si="0"/>
        <v>97</v>
      </c>
      <c r="K13" s="1">
        <f t="shared" ca="1" si="0"/>
        <v>6</v>
      </c>
      <c r="L13" s="4"/>
      <c r="W13">
        <v>13</v>
      </c>
      <c r="X13" t="s">
        <v>723</v>
      </c>
      <c r="Y13" t="s">
        <v>8</v>
      </c>
      <c r="Z13" s="9" t="s">
        <v>555</v>
      </c>
      <c r="AA13" s="9" t="s">
        <v>555</v>
      </c>
      <c r="AB13" s="9" t="s">
        <v>555</v>
      </c>
      <c r="AC13" s="9" t="s">
        <v>637</v>
      </c>
      <c r="AD13" s="9" t="s">
        <v>555</v>
      </c>
      <c r="AE13" t="s">
        <v>721</v>
      </c>
      <c r="AF13" s="9"/>
    </row>
    <row r="14" spans="1:33" x14ac:dyDescent="0.3">
      <c r="A14" s="27">
        <v>13</v>
      </c>
      <c r="B14" s="27" t="str">
        <f t="shared" ca="1" si="1"/>
        <v>Axe, Hand</v>
      </c>
      <c r="C14" s="27" t="str">
        <f t="shared" ca="1" si="2"/>
        <v>+2</v>
      </c>
      <c r="D14" s="27" t="str">
        <f t="shared" ca="1" si="3"/>
        <v>+2</v>
      </c>
      <c r="E14" s="27" t="str" cm="1">
        <f t="array" aca="1" ref="E14" ca="1">_xlfn.IFS(D14="No", "", D14 = "Talent", VLOOKUP(K14,$W:$AE,9), 1=1, VLOOKUP(K14,$W:$AE,7))</f>
        <v>Dragonkind</v>
      </c>
      <c r="F14" s="1"/>
      <c r="G14" s="1">
        <f t="shared" ca="1" si="4"/>
        <v>12</v>
      </c>
      <c r="H14" s="1">
        <f t="shared" ca="1" si="0"/>
        <v>69</v>
      </c>
      <c r="I14" s="1">
        <f t="shared" ca="1" si="0"/>
        <v>11</v>
      </c>
      <c r="J14" s="1">
        <f t="shared" ca="1" si="0"/>
        <v>55</v>
      </c>
      <c r="K14" s="1">
        <f t="shared" ca="1" si="0"/>
        <v>15</v>
      </c>
      <c r="L14" s="4"/>
      <c r="W14">
        <v>14</v>
      </c>
      <c r="X14" t="s">
        <v>723</v>
      </c>
      <c r="Y14" t="s">
        <v>8</v>
      </c>
      <c r="Z14" s="9" t="s">
        <v>555</v>
      </c>
      <c r="AA14" s="9" t="s">
        <v>555</v>
      </c>
      <c r="AB14" s="9" t="s">
        <v>555</v>
      </c>
      <c r="AC14" s="9" t="s">
        <v>637</v>
      </c>
      <c r="AD14" s="9" t="s">
        <v>555</v>
      </c>
      <c r="AE14" t="s">
        <v>721</v>
      </c>
      <c r="AF14" s="9"/>
    </row>
    <row r="15" spans="1:33" x14ac:dyDescent="0.3">
      <c r="A15">
        <v>14</v>
      </c>
      <c r="B15" t="str">
        <f t="shared" ca="1" si="1"/>
        <v>Axe, Battle</v>
      </c>
      <c r="C15" t="str">
        <f t="shared" ca="1" si="2"/>
        <v>+1</v>
      </c>
      <c r="D15" s="4" t="str">
        <f t="shared" ca="1" si="3"/>
        <v>+4</v>
      </c>
      <c r="E15" s="4" t="str" cm="1">
        <f t="array" aca="1" ref="E15" ca="1">_xlfn.IFS(D15="No", "", D15 = "Talent", VLOOKUP(K15,$W:$AE,9), 1=1, VLOOKUP(K15,$W:$AE,7))</f>
        <v>Lycanthropes</v>
      </c>
      <c r="F15" s="1"/>
      <c r="G15" s="1">
        <f t="shared" ca="1" si="4"/>
        <v>4</v>
      </c>
      <c r="H15" s="1">
        <f t="shared" ca="1" si="0"/>
        <v>43</v>
      </c>
      <c r="I15" s="1">
        <f t="shared" ca="1" si="0"/>
        <v>21</v>
      </c>
      <c r="J15" s="1">
        <f t="shared" ca="1" si="0"/>
        <v>79</v>
      </c>
      <c r="K15" s="1">
        <f t="shared" ca="1" si="0"/>
        <v>38</v>
      </c>
      <c r="L15" s="4"/>
      <c r="W15">
        <v>15</v>
      </c>
      <c r="X15" t="s">
        <v>723</v>
      </c>
      <c r="Y15" t="s">
        <v>8</v>
      </c>
      <c r="Z15" s="9" t="s">
        <v>555</v>
      </c>
      <c r="AA15" s="9" t="s">
        <v>555</v>
      </c>
      <c r="AB15" s="9" t="s">
        <v>555</v>
      </c>
      <c r="AC15" s="9" t="s">
        <v>637</v>
      </c>
      <c r="AD15" s="9" t="s">
        <v>555</v>
      </c>
      <c r="AE15" t="s">
        <v>721</v>
      </c>
      <c r="AF15" s="9"/>
    </row>
    <row r="16" spans="1:33" x14ac:dyDescent="0.3">
      <c r="A16" s="27">
        <v>15</v>
      </c>
      <c r="B16" s="27" t="str">
        <f t="shared" ca="1" si="1"/>
        <v>Net (returning)</v>
      </c>
      <c r="C16" s="27" t="str">
        <f t="shared" ca="1" si="2"/>
        <v>+4</v>
      </c>
      <c r="D16" s="27" t="str">
        <f t="shared" ca="1" si="3"/>
        <v>No</v>
      </c>
      <c r="E16" s="27" t="str" cm="1">
        <f t="array" aca="1" ref="E16" ca="1">_xlfn.IFS(D16="No", "", D16 = "Talent", VLOOKUP(K16,$W:$AE,9), 1=1, VLOOKUP(K16,$W:$AE,7))</f>
        <v/>
      </c>
      <c r="F16" s="1"/>
      <c r="G16" s="1">
        <f t="shared" ca="1" si="4"/>
        <v>79</v>
      </c>
      <c r="H16" s="1">
        <f t="shared" ca="1" si="0"/>
        <v>89</v>
      </c>
      <c r="I16" s="1">
        <f t="shared" ca="1" si="0"/>
        <v>32</v>
      </c>
      <c r="J16" s="1">
        <f t="shared" ca="1" si="0"/>
        <v>28</v>
      </c>
      <c r="K16" s="1">
        <f t="shared" ca="1" si="0"/>
        <v>48</v>
      </c>
      <c r="L16" s="4"/>
      <c r="W16">
        <v>16</v>
      </c>
      <c r="X16" t="s">
        <v>724</v>
      </c>
      <c r="Y16" t="s">
        <v>8</v>
      </c>
      <c r="Z16" s="9" t="s">
        <v>555</v>
      </c>
      <c r="AA16" s="9" t="s">
        <v>555</v>
      </c>
      <c r="AB16" s="9" t="s">
        <v>555</v>
      </c>
      <c r="AC16" s="9" t="s">
        <v>638</v>
      </c>
      <c r="AD16" s="9" t="s">
        <v>555</v>
      </c>
      <c r="AE16" t="s">
        <v>721</v>
      </c>
    </row>
    <row r="17" spans="1:31" x14ac:dyDescent="0.3">
      <c r="A17" s="4">
        <v>16</v>
      </c>
      <c r="B17" t="str">
        <f t="shared" ca="1" si="1"/>
        <v>Axe, Battle</v>
      </c>
      <c r="C17" t="str">
        <f t="shared" ca="1" si="2"/>
        <v>+3</v>
      </c>
      <c r="D17" s="4" t="str">
        <f t="shared" ca="1" si="3"/>
        <v>No</v>
      </c>
      <c r="E17" s="4" t="str" cm="1">
        <f t="array" aca="1" ref="E17" ca="1">_xlfn.IFS(D17="No", "", D17 = "Talent", VLOOKUP(K17,$W:$AE,9), 1=1, VLOOKUP(K17,$W:$AE,7))</f>
        <v/>
      </c>
      <c r="F17" s="1"/>
      <c r="G17" s="1">
        <f t="shared" ca="1" si="4"/>
        <v>5</v>
      </c>
      <c r="H17" s="1">
        <f t="shared" ca="1" si="0"/>
        <v>92</v>
      </c>
      <c r="I17" s="1">
        <f t="shared" ca="1" si="0"/>
        <v>24</v>
      </c>
      <c r="J17" s="1">
        <f t="shared" ca="1" si="0"/>
        <v>9</v>
      </c>
      <c r="K17" s="1">
        <f t="shared" ca="1" si="0"/>
        <v>78</v>
      </c>
      <c r="L17" s="4"/>
      <c r="W17">
        <v>17</v>
      </c>
      <c r="X17" t="s">
        <v>724</v>
      </c>
      <c r="Y17" t="s">
        <v>8</v>
      </c>
      <c r="Z17" s="9" t="s">
        <v>555</v>
      </c>
      <c r="AA17" s="9" t="s">
        <v>555</v>
      </c>
      <c r="AB17" s="9" t="s">
        <v>555</v>
      </c>
      <c r="AC17" s="9" t="s">
        <v>638</v>
      </c>
      <c r="AD17" s="9" t="s">
        <v>555</v>
      </c>
      <c r="AE17" t="s">
        <v>652</v>
      </c>
    </row>
    <row r="18" spans="1:31" x14ac:dyDescent="0.3">
      <c r="A18" s="27">
        <v>17</v>
      </c>
      <c r="B18" s="27" t="str">
        <f t="shared" ca="1" si="1"/>
        <v>Hammer, War</v>
      </c>
      <c r="C18" s="27" t="str">
        <f t="shared" ca="1" si="2"/>
        <v>+1</v>
      </c>
      <c r="D18" s="27" t="str">
        <f t="shared" ca="1" si="3"/>
        <v>+1</v>
      </c>
      <c r="E18" s="27" t="str" cm="1">
        <f t="array" aca="1" ref="E18" ca="1">_xlfn.IFS(D18="No", "", D18 = "Talent", VLOOKUP(K18,$W:$AE,9), 1=1, VLOOKUP(K18,$W:$AE,7))</f>
        <v>Bugs</v>
      </c>
      <c r="F18" s="1"/>
      <c r="G18" s="1">
        <f t="shared" ca="1" si="4"/>
        <v>48</v>
      </c>
      <c r="H18" s="1">
        <f t="shared" ca="1" si="4"/>
        <v>23</v>
      </c>
      <c r="I18" s="1">
        <f t="shared" ca="1" si="4"/>
        <v>28</v>
      </c>
      <c r="J18" s="1">
        <f t="shared" ca="1" si="4"/>
        <v>27</v>
      </c>
      <c r="K18" s="1">
        <f t="shared" ca="1" si="4"/>
        <v>3</v>
      </c>
      <c r="L18" s="4"/>
      <c r="W18">
        <v>18</v>
      </c>
      <c r="X18" t="s">
        <v>725</v>
      </c>
      <c r="Y18" t="s">
        <v>9</v>
      </c>
      <c r="Z18" s="9" t="s">
        <v>555</v>
      </c>
      <c r="AA18" s="9" t="s">
        <v>555</v>
      </c>
      <c r="AB18" s="9" t="s">
        <v>555</v>
      </c>
      <c r="AC18" s="9" t="s">
        <v>638</v>
      </c>
      <c r="AD18" s="9" t="s">
        <v>555</v>
      </c>
      <c r="AE18" t="s">
        <v>652</v>
      </c>
    </row>
    <row r="19" spans="1:31" x14ac:dyDescent="0.3">
      <c r="A19" s="4">
        <v>18</v>
      </c>
      <c r="B19" t="str">
        <f t="shared" ca="1" si="1"/>
        <v>Mace</v>
      </c>
      <c r="C19" t="str">
        <f t="shared" ca="1" si="2"/>
        <v>+1</v>
      </c>
      <c r="D19" s="4" t="str">
        <f t="shared" ca="1" si="3"/>
        <v>+3</v>
      </c>
      <c r="E19" s="4" t="str" cm="1">
        <f t="array" aca="1" ref="E19" ca="1">_xlfn.IFS(D19="No", "", D19 = "Talent", VLOOKUP(K19,$W:$AE,9), 1=1, VLOOKUP(K19,$W:$AE,7))</f>
        <v>Dragonkind</v>
      </c>
      <c r="F19" s="1"/>
      <c r="G19" s="1">
        <f t="shared" ca="1" si="4"/>
        <v>65</v>
      </c>
      <c r="H19" s="1">
        <f t="shared" ca="1" si="4"/>
        <v>31</v>
      </c>
      <c r="I19" s="1">
        <f t="shared" ca="1" si="4"/>
        <v>11</v>
      </c>
      <c r="J19" s="1">
        <f t="shared" ca="1" si="4"/>
        <v>68</v>
      </c>
      <c r="K19" s="1">
        <f t="shared" ca="1" si="4"/>
        <v>11</v>
      </c>
      <c r="L19" s="4"/>
      <c r="W19">
        <v>19</v>
      </c>
      <c r="X19" t="s">
        <v>725</v>
      </c>
      <c r="Y19" t="s">
        <v>9</v>
      </c>
      <c r="Z19" s="9" t="s">
        <v>555</v>
      </c>
      <c r="AA19" s="9" t="s">
        <v>555</v>
      </c>
      <c r="AB19" s="9" t="s">
        <v>555</v>
      </c>
      <c r="AC19" s="9" t="s">
        <v>638</v>
      </c>
      <c r="AD19" s="9" t="s">
        <v>555</v>
      </c>
      <c r="AE19" t="s">
        <v>652</v>
      </c>
    </row>
    <row r="20" spans="1:31" x14ac:dyDescent="0.3">
      <c r="A20" s="27">
        <v>19</v>
      </c>
      <c r="B20" s="27" t="str">
        <f t="shared" ca="1" si="1"/>
        <v>Club</v>
      </c>
      <c r="C20" s="27" t="str">
        <f t="shared" ca="1" si="2"/>
        <v>+1</v>
      </c>
      <c r="D20" s="27" t="str">
        <f t="shared" ca="1" si="3"/>
        <v>No</v>
      </c>
      <c r="E20" s="27" t="str" cm="1">
        <f t="array" aca="1" ref="E20" ca="1">_xlfn.IFS(D20="No", "", D20 = "Talent", VLOOKUP(K20,$W:$AE,9), 1=1, VLOOKUP(K20,$W:$AE,7))</f>
        <v/>
      </c>
      <c r="F20" s="1"/>
      <c r="G20" s="1">
        <f t="shared" ca="1" si="4"/>
        <v>28</v>
      </c>
      <c r="H20" s="1">
        <f t="shared" ca="1" si="4"/>
        <v>18</v>
      </c>
      <c r="I20" s="1">
        <f t="shared" ca="1" si="4"/>
        <v>58</v>
      </c>
      <c r="J20" s="1">
        <f t="shared" ca="1" si="4"/>
        <v>77</v>
      </c>
      <c r="K20" s="1">
        <f t="shared" ca="1" si="4"/>
        <v>4</v>
      </c>
      <c r="L20" s="4"/>
      <c r="W20">
        <v>20</v>
      </c>
      <c r="X20" t="s">
        <v>725</v>
      </c>
      <c r="Y20" t="s">
        <v>9</v>
      </c>
      <c r="Z20" s="9" t="s">
        <v>555</v>
      </c>
      <c r="AA20" s="9" t="s">
        <v>555</v>
      </c>
      <c r="AB20" s="9" t="s">
        <v>555</v>
      </c>
      <c r="AC20" s="9" t="s">
        <v>638</v>
      </c>
      <c r="AD20" s="9" t="s">
        <v>555</v>
      </c>
      <c r="AE20" t="s">
        <v>652</v>
      </c>
    </row>
    <row r="21" spans="1:31" x14ac:dyDescent="0.3">
      <c r="A21">
        <v>20</v>
      </c>
      <c r="B21" s="4" t="str">
        <f t="shared" ref="B21" ca="1" si="5">VLOOKUP(G21,$W:$AE,2)</f>
        <v>Blackjack</v>
      </c>
      <c r="C21" s="4" t="str">
        <f t="shared" ref="C21" ca="1" si="6">VLOOKUP(H21, $W:$AE, VLOOKUP(VLOOKUP(G21,$W:$AE,3), $AF$9:$AG$11,2))</f>
        <v>+1</v>
      </c>
      <c r="D21" s="4" t="str">
        <f t="shared" ca="1" si="3"/>
        <v>+2</v>
      </c>
      <c r="E21" s="4" t="str" cm="1">
        <f t="array" aca="1" ref="E21" ca="1">_xlfn.IFS(D21="No", "", D21 = "Talent", VLOOKUP(K21,$W:$AE,9), 1=1, VLOOKUP(K21,$W:$AE,7))</f>
        <v>Enchanted Monsters</v>
      </c>
      <c r="F21" s="1"/>
      <c r="G21" s="1">
        <f t="shared" ca="1" si="4"/>
        <v>20</v>
      </c>
      <c r="H21" s="1">
        <f t="shared" ca="1" si="4"/>
        <v>4</v>
      </c>
      <c r="I21" s="1">
        <f t="shared" ca="1" si="4"/>
        <v>39</v>
      </c>
      <c r="J21" s="1">
        <f t="shared" ca="1" si="4"/>
        <v>40</v>
      </c>
      <c r="K21" s="1">
        <f t="shared" ca="1" si="4"/>
        <v>17</v>
      </c>
      <c r="L21" s="4"/>
      <c r="W21">
        <v>21</v>
      </c>
      <c r="X21" t="s">
        <v>726</v>
      </c>
      <c r="Y21" t="s">
        <v>8</v>
      </c>
      <c r="Z21" s="9" t="s">
        <v>555</v>
      </c>
      <c r="AA21" s="9" t="s">
        <v>555</v>
      </c>
      <c r="AB21" s="9" t="s">
        <v>555</v>
      </c>
      <c r="AC21" s="9" t="s">
        <v>638</v>
      </c>
      <c r="AD21" s="9" t="s">
        <v>555</v>
      </c>
      <c r="AE21" t="s">
        <v>652</v>
      </c>
    </row>
    <row r="22" spans="1:3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"/>
      <c r="W22">
        <v>22</v>
      </c>
      <c r="X22" t="s">
        <v>726</v>
      </c>
      <c r="Y22" t="s">
        <v>8</v>
      </c>
      <c r="Z22" s="9" t="s">
        <v>555</v>
      </c>
      <c r="AA22" s="9" t="s">
        <v>555</v>
      </c>
      <c r="AB22" s="9" t="s">
        <v>555</v>
      </c>
      <c r="AC22" s="9" t="s">
        <v>638</v>
      </c>
      <c r="AD22" s="9" t="s">
        <v>555</v>
      </c>
      <c r="AE22" t="s">
        <v>652</v>
      </c>
    </row>
    <row r="23" spans="1:3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W23">
        <v>23</v>
      </c>
      <c r="X23" t="s">
        <v>727</v>
      </c>
      <c r="Y23" t="s">
        <v>8</v>
      </c>
      <c r="Z23" s="9" t="s">
        <v>555</v>
      </c>
      <c r="AA23" s="9" t="s">
        <v>555</v>
      </c>
      <c r="AB23" s="9" t="s">
        <v>555</v>
      </c>
      <c r="AC23" s="9" t="s">
        <v>638</v>
      </c>
      <c r="AD23" s="9" t="s">
        <v>555</v>
      </c>
      <c r="AE23" t="s">
        <v>652</v>
      </c>
    </row>
    <row r="24" spans="1:3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  <c r="W24">
        <v>24</v>
      </c>
      <c r="X24" t="s">
        <v>728</v>
      </c>
      <c r="Y24" t="s">
        <v>9</v>
      </c>
      <c r="Z24" s="9" t="s">
        <v>555</v>
      </c>
      <c r="AA24" s="9" t="s">
        <v>555</v>
      </c>
      <c r="AB24" s="9" t="s">
        <v>555</v>
      </c>
      <c r="AC24" s="9" t="s">
        <v>638</v>
      </c>
      <c r="AD24" s="9" t="s">
        <v>555</v>
      </c>
      <c r="AE24" t="s">
        <v>653</v>
      </c>
    </row>
    <row r="25" spans="1:3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W25">
        <v>25</v>
      </c>
      <c r="X25" t="s">
        <v>728</v>
      </c>
      <c r="Y25" t="s">
        <v>9</v>
      </c>
      <c r="Z25" s="9" t="s">
        <v>555</v>
      </c>
      <c r="AA25" s="9" t="s">
        <v>555</v>
      </c>
      <c r="AB25" s="9" t="s">
        <v>555</v>
      </c>
      <c r="AC25" s="9" t="s">
        <v>639</v>
      </c>
      <c r="AD25" s="9" t="s">
        <v>555</v>
      </c>
      <c r="AE25" t="s">
        <v>653</v>
      </c>
    </row>
    <row r="26" spans="1:3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W26">
        <v>26</v>
      </c>
      <c r="X26" t="s">
        <v>728</v>
      </c>
      <c r="Y26" t="s">
        <v>9</v>
      </c>
      <c r="Z26" s="9" t="s">
        <v>555</v>
      </c>
      <c r="AA26" s="9" t="s">
        <v>555</v>
      </c>
      <c r="AB26" s="9" t="s">
        <v>555</v>
      </c>
      <c r="AC26" s="9" t="s">
        <v>639</v>
      </c>
      <c r="AD26" s="9" t="s">
        <v>555</v>
      </c>
      <c r="AE26" t="s">
        <v>654</v>
      </c>
    </row>
    <row r="27" spans="1:3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W27">
        <v>27</v>
      </c>
      <c r="X27" t="s">
        <v>728</v>
      </c>
      <c r="Y27" t="s">
        <v>9</v>
      </c>
      <c r="Z27" s="9" t="s">
        <v>555</v>
      </c>
      <c r="AA27" s="9" t="s">
        <v>555</v>
      </c>
      <c r="AB27" s="9" t="s">
        <v>555</v>
      </c>
      <c r="AC27" s="9" t="s">
        <v>639</v>
      </c>
      <c r="AD27" s="9" t="s">
        <v>555</v>
      </c>
      <c r="AE27" t="s">
        <v>654</v>
      </c>
    </row>
    <row r="28" spans="1:3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W28">
        <v>28</v>
      </c>
      <c r="X28" t="s">
        <v>728</v>
      </c>
      <c r="Y28" t="s">
        <v>9</v>
      </c>
      <c r="Z28" s="9" t="s">
        <v>555</v>
      </c>
      <c r="AA28" s="9" t="s">
        <v>555</v>
      </c>
      <c r="AB28" s="9" t="s">
        <v>555</v>
      </c>
      <c r="AC28" s="9" t="s">
        <v>639</v>
      </c>
      <c r="AD28" s="9" t="s">
        <v>555</v>
      </c>
      <c r="AE28" t="s">
        <v>655</v>
      </c>
    </row>
    <row r="29" spans="1:3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W29">
        <v>29</v>
      </c>
      <c r="X29" t="s">
        <v>729</v>
      </c>
      <c r="Y29" t="s">
        <v>8</v>
      </c>
      <c r="Z29" s="9" t="s">
        <v>555</v>
      </c>
      <c r="AA29" s="9" t="s">
        <v>555</v>
      </c>
      <c r="AB29" s="9" t="s">
        <v>555</v>
      </c>
      <c r="AC29" s="9" t="s">
        <v>639</v>
      </c>
      <c r="AD29" s="9" t="s">
        <v>555</v>
      </c>
      <c r="AE29" t="s">
        <v>655</v>
      </c>
    </row>
    <row r="30" spans="1:3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W30">
        <v>30</v>
      </c>
      <c r="X30" t="s">
        <v>729</v>
      </c>
      <c r="Y30" t="s">
        <v>8</v>
      </c>
      <c r="Z30" s="9" t="s">
        <v>555</v>
      </c>
      <c r="AA30" s="9" t="s">
        <v>555</v>
      </c>
      <c r="AB30" s="9" t="s">
        <v>555</v>
      </c>
      <c r="AC30" s="9" t="s">
        <v>639</v>
      </c>
      <c r="AD30" s="9" t="s">
        <v>555</v>
      </c>
      <c r="AE30" t="s">
        <v>655</v>
      </c>
    </row>
    <row r="31" spans="1:3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W31">
        <v>31</v>
      </c>
      <c r="X31" t="s">
        <v>729</v>
      </c>
      <c r="Y31" t="s">
        <v>8</v>
      </c>
      <c r="Z31" s="9" t="s">
        <v>555</v>
      </c>
      <c r="AA31" s="9" t="s">
        <v>555</v>
      </c>
      <c r="AB31" s="9" t="s">
        <v>555</v>
      </c>
      <c r="AC31" s="9" t="s">
        <v>639</v>
      </c>
      <c r="AD31" s="9" t="s">
        <v>555</v>
      </c>
      <c r="AE31" t="s">
        <v>655</v>
      </c>
    </row>
    <row r="32" spans="1:3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W32">
        <v>32</v>
      </c>
      <c r="X32" t="s">
        <v>729</v>
      </c>
      <c r="Y32" t="s">
        <v>8</v>
      </c>
      <c r="Z32" s="9" t="s">
        <v>555</v>
      </c>
      <c r="AA32" s="9" t="s">
        <v>555</v>
      </c>
      <c r="AB32" s="9" t="s">
        <v>555</v>
      </c>
      <c r="AC32" s="9" t="s">
        <v>639</v>
      </c>
      <c r="AD32" s="9" t="s">
        <v>555</v>
      </c>
      <c r="AE32" t="s">
        <v>655</v>
      </c>
    </row>
    <row r="33" spans="1:3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W33">
        <v>33</v>
      </c>
      <c r="X33" t="s">
        <v>729</v>
      </c>
      <c r="Y33" t="s">
        <v>8</v>
      </c>
      <c r="Z33" s="9" t="s">
        <v>555</v>
      </c>
      <c r="AA33" s="9" t="s">
        <v>555</v>
      </c>
      <c r="AB33" s="9" t="s">
        <v>555</v>
      </c>
      <c r="AC33" s="9" t="s">
        <v>639</v>
      </c>
      <c r="AD33" s="9" t="s">
        <v>555</v>
      </c>
      <c r="AE33" t="s">
        <v>656</v>
      </c>
    </row>
    <row r="34" spans="1:3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W34">
        <v>34</v>
      </c>
      <c r="X34" t="s">
        <v>729</v>
      </c>
      <c r="Y34" t="s">
        <v>8</v>
      </c>
      <c r="Z34" s="9" t="s">
        <v>555</v>
      </c>
      <c r="AA34" s="9" t="s">
        <v>555</v>
      </c>
      <c r="AB34" s="9" t="s">
        <v>555</v>
      </c>
      <c r="AC34" s="9" t="s">
        <v>639</v>
      </c>
      <c r="AD34" s="9" t="s">
        <v>556</v>
      </c>
      <c r="AE34" t="s">
        <v>656</v>
      </c>
    </row>
    <row r="35" spans="1:3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W35">
        <v>35</v>
      </c>
      <c r="X35" t="s">
        <v>729</v>
      </c>
      <c r="Y35" t="s">
        <v>8</v>
      </c>
      <c r="Z35" s="9" t="s">
        <v>555</v>
      </c>
      <c r="AA35" s="9" t="s">
        <v>555</v>
      </c>
      <c r="AB35" s="9" t="s">
        <v>555</v>
      </c>
      <c r="AC35" s="9" t="s">
        <v>639</v>
      </c>
      <c r="AD35" s="9" t="s">
        <v>556</v>
      </c>
      <c r="AE35" t="s">
        <v>656</v>
      </c>
    </row>
    <row r="36" spans="1:3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W36">
        <v>36</v>
      </c>
      <c r="X36" t="s">
        <v>729</v>
      </c>
      <c r="Y36" t="s">
        <v>8</v>
      </c>
      <c r="Z36" s="9" t="s">
        <v>555</v>
      </c>
      <c r="AA36" s="9" t="s">
        <v>555</v>
      </c>
      <c r="AB36" s="9" t="s">
        <v>555</v>
      </c>
      <c r="AC36" s="9" t="s">
        <v>639</v>
      </c>
      <c r="AD36" s="9" t="s">
        <v>556</v>
      </c>
      <c r="AE36" t="s">
        <v>656</v>
      </c>
    </row>
    <row r="37" spans="1:3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W37">
        <v>37</v>
      </c>
      <c r="X37" t="s">
        <v>729</v>
      </c>
      <c r="Y37" t="s">
        <v>8</v>
      </c>
      <c r="Z37" s="9" t="s">
        <v>555</v>
      </c>
      <c r="AA37" s="9" t="s">
        <v>555</v>
      </c>
      <c r="AB37" s="9" t="s">
        <v>555</v>
      </c>
      <c r="AC37" s="9" t="s">
        <v>640</v>
      </c>
      <c r="AD37" s="9" t="s">
        <v>556</v>
      </c>
      <c r="AE37" t="s">
        <v>656</v>
      </c>
    </row>
    <row r="38" spans="1:31" x14ac:dyDescent="0.3">
      <c r="W38">
        <v>38</v>
      </c>
      <c r="X38" t="s">
        <v>729</v>
      </c>
      <c r="Y38" t="s">
        <v>8</v>
      </c>
      <c r="Z38" s="9" t="s">
        <v>555</v>
      </c>
      <c r="AA38" s="9" t="s">
        <v>555</v>
      </c>
      <c r="AB38" s="9" t="s">
        <v>555</v>
      </c>
      <c r="AC38" s="9" t="s">
        <v>640</v>
      </c>
      <c r="AD38" s="9" t="s">
        <v>556</v>
      </c>
      <c r="AE38" t="s">
        <v>656</v>
      </c>
    </row>
    <row r="39" spans="1:31" x14ac:dyDescent="0.3">
      <c r="W39">
        <v>39</v>
      </c>
      <c r="X39" t="s">
        <v>729</v>
      </c>
      <c r="Y39" t="s">
        <v>8</v>
      </c>
      <c r="Z39" s="9" t="s">
        <v>555</v>
      </c>
      <c r="AA39" s="9" t="s">
        <v>555</v>
      </c>
      <c r="AB39" s="9" t="s">
        <v>555</v>
      </c>
      <c r="AC39" s="9" t="s">
        <v>640</v>
      </c>
      <c r="AD39" s="9" t="s">
        <v>556</v>
      </c>
      <c r="AE39" t="s">
        <v>657</v>
      </c>
    </row>
    <row r="40" spans="1:31" x14ac:dyDescent="0.3">
      <c r="W40">
        <v>40</v>
      </c>
      <c r="X40" t="s">
        <v>729</v>
      </c>
      <c r="Y40" t="s">
        <v>8</v>
      </c>
      <c r="Z40" s="9" t="s">
        <v>555</v>
      </c>
      <c r="AA40" s="9" t="s">
        <v>555</v>
      </c>
      <c r="AB40" s="9" t="s">
        <v>555</v>
      </c>
      <c r="AC40" s="9" t="s">
        <v>640</v>
      </c>
      <c r="AD40" s="9" t="s">
        <v>556</v>
      </c>
      <c r="AE40" t="s">
        <v>657</v>
      </c>
    </row>
    <row r="41" spans="1:31" x14ac:dyDescent="0.3">
      <c r="W41">
        <v>41</v>
      </c>
      <c r="X41" t="s">
        <v>730</v>
      </c>
      <c r="Y41" t="s">
        <v>8</v>
      </c>
      <c r="Z41" s="9" t="s">
        <v>555</v>
      </c>
      <c r="AA41" s="9" t="s">
        <v>555</v>
      </c>
      <c r="AB41" s="9" t="s">
        <v>555</v>
      </c>
      <c r="AC41" s="9" t="s">
        <v>640</v>
      </c>
      <c r="AD41" s="9" t="s">
        <v>556</v>
      </c>
      <c r="AE41" t="s">
        <v>657</v>
      </c>
    </row>
    <row r="42" spans="1:31" x14ac:dyDescent="0.3">
      <c r="W42">
        <v>42</v>
      </c>
      <c r="X42" t="s">
        <v>730</v>
      </c>
      <c r="Y42" t="s">
        <v>8</v>
      </c>
      <c r="Z42" s="9" t="s">
        <v>555</v>
      </c>
      <c r="AA42" s="9" t="s">
        <v>555</v>
      </c>
      <c r="AB42" s="9" t="s">
        <v>555</v>
      </c>
      <c r="AC42" s="9" t="s">
        <v>640</v>
      </c>
      <c r="AD42" s="9" t="s">
        <v>556</v>
      </c>
      <c r="AE42" t="s">
        <v>657</v>
      </c>
    </row>
    <row r="43" spans="1:31" x14ac:dyDescent="0.3">
      <c r="W43">
        <v>43</v>
      </c>
      <c r="X43" t="s">
        <v>730</v>
      </c>
      <c r="Y43" t="s">
        <v>8</v>
      </c>
      <c r="Z43" s="9" t="s">
        <v>555</v>
      </c>
      <c r="AA43" s="9" t="s">
        <v>555</v>
      </c>
      <c r="AB43" s="9" t="s">
        <v>555</v>
      </c>
      <c r="AC43" s="9" t="s">
        <v>640</v>
      </c>
      <c r="AD43" s="9" t="s">
        <v>556</v>
      </c>
      <c r="AE43" t="s">
        <v>657</v>
      </c>
    </row>
    <row r="44" spans="1:31" x14ac:dyDescent="0.3">
      <c r="W44">
        <v>44</v>
      </c>
      <c r="X44" t="s">
        <v>731</v>
      </c>
      <c r="Y44" t="s">
        <v>9</v>
      </c>
      <c r="Z44" s="9" t="s">
        <v>555</v>
      </c>
      <c r="AA44" s="9" t="s">
        <v>555</v>
      </c>
      <c r="AB44" s="9" t="s">
        <v>555</v>
      </c>
      <c r="AC44" s="9" t="s">
        <v>640</v>
      </c>
      <c r="AD44" s="9" t="s">
        <v>556</v>
      </c>
      <c r="AE44" t="s">
        <v>178</v>
      </c>
    </row>
    <row r="45" spans="1:31" x14ac:dyDescent="0.3">
      <c r="W45">
        <v>45</v>
      </c>
      <c r="X45" t="s">
        <v>731</v>
      </c>
      <c r="Y45" t="s">
        <v>9</v>
      </c>
      <c r="Z45" s="9" t="s">
        <v>555</v>
      </c>
      <c r="AA45" s="9" t="s">
        <v>555</v>
      </c>
      <c r="AB45" s="9" t="s">
        <v>555</v>
      </c>
      <c r="AC45" s="9" t="s">
        <v>640</v>
      </c>
      <c r="AD45" s="9" t="s">
        <v>556</v>
      </c>
      <c r="AE45" t="s">
        <v>178</v>
      </c>
    </row>
    <row r="46" spans="1:31" x14ac:dyDescent="0.3">
      <c r="W46">
        <v>46</v>
      </c>
      <c r="X46" t="s">
        <v>731</v>
      </c>
      <c r="Y46" t="s">
        <v>9</v>
      </c>
      <c r="Z46" s="9" t="s">
        <v>555</v>
      </c>
      <c r="AA46" s="9" t="s">
        <v>555</v>
      </c>
      <c r="AB46" s="9" t="s">
        <v>555</v>
      </c>
      <c r="AC46" s="9" t="s">
        <v>640</v>
      </c>
      <c r="AD46" s="9" t="s">
        <v>556</v>
      </c>
      <c r="AE46" t="s">
        <v>178</v>
      </c>
    </row>
    <row r="47" spans="1:31" x14ac:dyDescent="0.3">
      <c r="W47">
        <v>47</v>
      </c>
      <c r="X47" t="s">
        <v>731</v>
      </c>
      <c r="Y47" t="s">
        <v>9</v>
      </c>
      <c r="Z47" s="9" t="s">
        <v>555</v>
      </c>
      <c r="AA47" s="9" t="s">
        <v>555</v>
      </c>
      <c r="AB47" s="9" t="s">
        <v>555</v>
      </c>
      <c r="AC47" s="9" t="s">
        <v>640</v>
      </c>
      <c r="AD47" s="9" t="s">
        <v>556</v>
      </c>
      <c r="AE47" t="s">
        <v>184</v>
      </c>
    </row>
    <row r="48" spans="1:31" x14ac:dyDescent="0.3">
      <c r="W48">
        <v>48</v>
      </c>
      <c r="X48" t="s">
        <v>731</v>
      </c>
      <c r="Y48" t="s">
        <v>9</v>
      </c>
      <c r="Z48" s="9" t="s">
        <v>555</v>
      </c>
      <c r="AA48" s="9" t="s">
        <v>555</v>
      </c>
      <c r="AB48" s="9" t="s">
        <v>555</v>
      </c>
      <c r="AC48" s="9" t="s">
        <v>640</v>
      </c>
      <c r="AD48" s="9" t="s">
        <v>556</v>
      </c>
      <c r="AE48" t="s">
        <v>184</v>
      </c>
    </row>
    <row r="49" spans="23:31" x14ac:dyDescent="0.3">
      <c r="W49">
        <v>49</v>
      </c>
      <c r="X49" t="s">
        <v>731</v>
      </c>
      <c r="Y49" t="s">
        <v>9</v>
      </c>
      <c r="Z49" s="9" t="s">
        <v>555</v>
      </c>
      <c r="AA49" s="9" t="s">
        <v>555</v>
      </c>
      <c r="AB49" s="9" t="s">
        <v>555</v>
      </c>
      <c r="AC49" s="9" t="s">
        <v>641</v>
      </c>
      <c r="AD49" s="9" t="s">
        <v>556</v>
      </c>
      <c r="AE49" t="s">
        <v>184</v>
      </c>
    </row>
    <row r="50" spans="23:31" x14ac:dyDescent="0.3">
      <c r="W50">
        <v>50</v>
      </c>
      <c r="X50" t="s">
        <v>731</v>
      </c>
      <c r="Y50" t="s">
        <v>9</v>
      </c>
      <c r="Z50" s="9" t="s">
        <v>555</v>
      </c>
      <c r="AA50" s="9" t="s">
        <v>555</v>
      </c>
      <c r="AB50" s="9" t="s">
        <v>555</v>
      </c>
      <c r="AC50" s="9" t="s">
        <v>641</v>
      </c>
      <c r="AD50" s="9" t="s">
        <v>556</v>
      </c>
      <c r="AE50" t="s">
        <v>184</v>
      </c>
    </row>
    <row r="51" spans="23:31" x14ac:dyDescent="0.3">
      <c r="W51">
        <v>51</v>
      </c>
      <c r="X51" t="s">
        <v>731</v>
      </c>
      <c r="Y51" t="s">
        <v>9</v>
      </c>
      <c r="Z51" s="9" t="s">
        <v>556</v>
      </c>
      <c r="AA51" s="9" t="s">
        <v>555</v>
      </c>
      <c r="AB51" s="9" t="s">
        <v>555</v>
      </c>
      <c r="AC51" s="9" t="s">
        <v>641</v>
      </c>
      <c r="AD51" s="9" t="s">
        <v>556</v>
      </c>
      <c r="AE51" t="s">
        <v>184</v>
      </c>
    </row>
    <row r="52" spans="23:31" x14ac:dyDescent="0.3">
      <c r="W52">
        <v>52</v>
      </c>
      <c r="X52" t="s">
        <v>731</v>
      </c>
      <c r="Y52" t="s">
        <v>9</v>
      </c>
      <c r="Z52" s="9" t="s">
        <v>556</v>
      </c>
      <c r="AA52" s="9" t="s">
        <v>555</v>
      </c>
      <c r="AB52" s="9" t="s">
        <v>555</v>
      </c>
      <c r="AC52" s="9" t="s">
        <v>641</v>
      </c>
      <c r="AD52" s="9" t="s">
        <v>556</v>
      </c>
      <c r="AE52" t="s">
        <v>184</v>
      </c>
    </row>
    <row r="53" spans="23:31" x14ac:dyDescent="0.3">
      <c r="W53">
        <v>53</v>
      </c>
      <c r="X53" t="s">
        <v>731</v>
      </c>
      <c r="Y53" t="s">
        <v>9</v>
      </c>
      <c r="Z53" s="9" t="s">
        <v>556</v>
      </c>
      <c r="AA53" s="9" t="s">
        <v>555</v>
      </c>
      <c r="AB53" s="9" t="s">
        <v>555</v>
      </c>
      <c r="AC53" s="9" t="s">
        <v>642</v>
      </c>
      <c r="AD53" s="9" t="s">
        <v>556</v>
      </c>
      <c r="AE53" t="s">
        <v>184</v>
      </c>
    </row>
    <row r="54" spans="23:31" x14ac:dyDescent="0.3">
      <c r="W54">
        <v>54</v>
      </c>
      <c r="X54" t="s">
        <v>732</v>
      </c>
      <c r="Y54" t="s">
        <v>9</v>
      </c>
      <c r="Z54" s="9" t="s">
        <v>556</v>
      </c>
      <c r="AA54" s="9" t="s">
        <v>555</v>
      </c>
      <c r="AB54" s="9" t="s">
        <v>555</v>
      </c>
      <c r="AC54" s="9" t="s">
        <v>642</v>
      </c>
      <c r="AD54" s="9" t="s">
        <v>556</v>
      </c>
      <c r="AE54" t="s">
        <v>184</v>
      </c>
    </row>
    <row r="55" spans="23:31" x14ac:dyDescent="0.3">
      <c r="W55">
        <v>55</v>
      </c>
      <c r="X55" t="s">
        <v>732</v>
      </c>
      <c r="Y55" t="s">
        <v>9</v>
      </c>
      <c r="Z55" s="9" t="s">
        <v>556</v>
      </c>
      <c r="AA55" s="9" t="s">
        <v>555</v>
      </c>
      <c r="AB55" s="9" t="s">
        <v>555</v>
      </c>
      <c r="AC55" s="9" t="s">
        <v>642</v>
      </c>
      <c r="AD55" s="9" t="s">
        <v>556</v>
      </c>
      <c r="AE55" t="s">
        <v>658</v>
      </c>
    </row>
    <row r="56" spans="23:31" x14ac:dyDescent="0.3">
      <c r="W56">
        <v>56</v>
      </c>
      <c r="X56" t="s">
        <v>732</v>
      </c>
      <c r="Y56" t="s">
        <v>9</v>
      </c>
      <c r="Z56" s="9" t="s">
        <v>556</v>
      </c>
      <c r="AA56" s="9" t="s">
        <v>555</v>
      </c>
      <c r="AB56" s="9" t="s">
        <v>555</v>
      </c>
      <c r="AC56" s="9" t="s">
        <v>642</v>
      </c>
      <c r="AD56" s="9" t="s">
        <v>556</v>
      </c>
      <c r="AE56" t="s">
        <v>658</v>
      </c>
    </row>
    <row r="57" spans="23:31" x14ac:dyDescent="0.3">
      <c r="W57">
        <v>57</v>
      </c>
      <c r="X57" t="s">
        <v>733</v>
      </c>
      <c r="Y57" t="s">
        <v>8</v>
      </c>
      <c r="Z57" s="9" t="s">
        <v>556</v>
      </c>
      <c r="AA57" s="9" t="s">
        <v>555</v>
      </c>
      <c r="AB57" s="9" t="s">
        <v>555</v>
      </c>
      <c r="AC57" s="9" t="s">
        <v>642</v>
      </c>
      <c r="AD57" s="9" t="s">
        <v>556</v>
      </c>
      <c r="AE57" t="s">
        <v>658</v>
      </c>
    </row>
    <row r="58" spans="23:31" x14ac:dyDescent="0.3">
      <c r="W58">
        <v>58</v>
      </c>
      <c r="X58" t="s">
        <v>733</v>
      </c>
      <c r="Y58" t="s">
        <v>8</v>
      </c>
      <c r="Z58" s="9" t="s">
        <v>556</v>
      </c>
      <c r="AA58" s="9" t="s">
        <v>555</v>
      </c>
      <c r="AB58" s="9" t="s">
        <v>555</v>
      </c>
      <c r="AC58" s="9" t="s">
        <v>642</v>
      </c>
      <c r="AD58" s="9" t="s">
        <v>557</v>
      </c>
      <c r="AE58" t="s">
        <v>658</v>
      </c>
    </row>
    <row r="59" spans="23:31" x14ac:dyDescent="0.3">
      <c r="W59">
        <v>59</v>
      </c>
      <c r="X59" t="s">
        <v>733</v>
      </c>
      <c r="Y59" t="s">
        <v>8</v>
      </c>
      <c r="Z59" s="9" t="s">
        <v>556</v>
      </c>
      <c r="AA59" s="9" t="s">
        <v>555</v>
      </c>
      <c r="AB59" s="9" t="s">
        <v>555</v>
      </c>
      <c r="AC59" s="9" t="s">
        <v>718</v>
      </c>
      <c r="AD59" s="9" t="s">
        <v>557</v>
      </c>
      <c r="AE59" t="s">
        <v>658</v>
      </c>
    </row>
    <row r="60" spans="23:31" x14ac:dyDescent="0.3">
      <c r="W60">
        <v>60</v>
      </c>
      <c r="X60" t="s">
        <v>734</v>
      </c>
      <c r="Y60" t="s">
        <v>8</v>
      </c>
      <c r="Z60" s="9" t="s">
        <v>556</v>
      </c>
      <c r="AA60" s="9" t="s">
        <v>555</v>
      </c>
      <c r="AB60" s="9" t="s">
        <v>555</v>
      </c>
      <c r="AC60" s="9" t="s">
        <v>718</v>
      </c>
      <c r="AD60" s="9" t="s">
        <v>557</v>
      </c>
      <c r="AE60" t="s">
        <v>659</v>
      </c>
    </row>
    <row r="61" spans="23:31" x14ac:dyDescent="0.3">
      <c r="W61">
        <v>61</v>
      </c>
      <c r="X61" t="s">
        <v>735</v>
      </c>
      <c r="Y61" t="s">
        <v>10</v>
      </c>
      <c r="Z61" s="9" t="s">
        <v>556</v>
      </c>
      <c r="AA61" s="9" t="s">
        <v>556</v>
      </c>
      <c r="AB61" s="9" t="s">
        <v>555</v>
      </c>
      <c r="AC61" s="9" t="s">
        <v>718</v>
      </c>
      <c r="AD61" s="9" t="s">
        <v>557</v>
      </c>
      <c r="AE61" t="s">
        <v>659</v>
      </c>
    </row>
    <row r="62" spans="23:31" x14ac:dyDescent="0.3">
      <c r="W62">
        <v>62</v>
      </c>
      <c r="X62" t="s">
        <v>735</v>
      </c>
      <c r="Y62" t="s">
        <v>10</v>
      </c>
      <c r="Z62" s="9" t="s">
        <v>556</v>
      </c>
      <c r="AA62" s="9" t="s">
        <v>556</v>
      </c>
      <c r="AB62" s="9" t="s">
        <v>555</v>
      </c>
      <c r="AC62" s="9" t="s">
        <v>718</v>
      </c>
      <c r="AD62" s="9" t="s">
        <v>557</v>
      </c>
      <c r="AE62" t="s">
        <v>659</v>
      </c>
    </row>
    <row r="63" spans="23:31" x14ac:dyDescent="0.3">
      <c r="W63">
        <v>63</v>
      </c>
      <c r="X63" t="s">
        <v>735</v>
      </c>
      <c r="Y63" t="s">
        <v>10</v>
      </c>
      <c r="Z63" s="9" t="s">
        <v>556</v>
      </c>
      <c r="AA63" s="9" t="s">
        <v>556</v>
      </c>
      <c r="AB63" s="9" t="s">
        <v>555</v>
      </c>
      <c r="AC63" s="9" t="s">
        <v>718</v>
      </c>
      <c r="AD63" s="9" t="s">
        <v>557</v>
      </c>
      <c r="AE63" t="s">
        <v>659</v>
      </c>
    </row>
    <row r="64" spans="23:31" x14ac:dyDescent="0.3">
      <c r="W64">
        <v>64</v>
      </c>
      <c r="X64" t="s">
        <v>735</v>
      </c>
      <c r="Y64" t="s">
        <v>10</v>
      </c>
      <c r="Z64" s="9" t="s">
        <v>556</v>
      </c>
      <c r="AA64" s="9" t="s">
        <v>556</v>
      </c>
      <c r="AB64" s="9" t="s">
        <v>555</v>
      </c>
      <c r="AC64" s="9" t="s">
        <v>718</v>
      </c>
      <c r="AD64" s="9" t="s">
        <v>557</v>
      </c>
      <c r="AE64" t="s">
        <v>659</v>
      </c>
    </row>
    <row r="65" spans="23:31" x14ac:dyDescent="0.3">
      <c r="W65">
        <v>65</v>
      </c>
      <c r="X65" t="s">
        <v>736</v>
      </c>
      <c r="Y65" t="s">
        <v>9</v>
      </c>
      <c r="Z65" s="9" t="s">
        <v>556</v>
      </c>
      <c r="AA65" s="9" t="s">
        <v>556</v>
      </c>
      <c r="AB65" s="9" t="s">
        <v>555</v>
      </c>
      <c r="AC65" s="9" t="s">
        <v>718</v>
      </c>
      <c r="AD65" s="9" t="s">
        <v>557</v>
      </c>
      <c r="AE65" t="s">
        <v>659</v>
      </c>
    </row>
    <row r="66" spans="23:31" x14ac:dyDescent="0.3">
      <c r="W66">
        <v>66</v>
      </c>
      <c r="X66" t="s">
        <v>736</v>
      </c>
      <c r="Y66" t="s">
        <v>9</v>
      </c>
      <c r="Z66" s="9" t="s">
        <v>556</v>
      </c>
      <c r="AA66" s="9" t="s">
        <v>556</v>
      </c>
      <c r="AB66" s="9" t="s">
        <v>555</v>
      </c>
      <c r="AC66" s="9" t="s">
        <v>718</v>
      </c>
      <c r="AD66" s="9" t="s">
        <v>557</v>
      </c>
      <c r="AE66" t="s">
        <v>621</v>
      </c>
    </row>
    <row r="67" spans="23:31" x14ac:dyDescent="0.3">
      <c r="W67">
        <v>67</v>
      </c>
      <c r="X67" t="s">
        <v>736</v>
      </c>
      <c r="Y67" t="s">
        <v>9</v>
      </c>
      <c r="Z67" s="9" t="s">
        <v>556</v>
      </c>
      <c r="AA67" s="9" t="s">
        <v>556</v>
      </c>
      <c r="AB67" s="9" t="s">
        <v>555</v>
      </c>
      <c r="AC67" s="9" t="s">
        <v>718</v>
      </c>
      <c r="AD67" s="9" t="s">
        <v>557</v>
      </c>
      <c r="AE67" t="s">
        <v>621</v>
      </c>
    </row>
    <row r="68" spans="23:31" x14ac:dyDescent="0.3">
      <c r="W68">
        <v>68</v>
      </c>
      <c r="X68" t="s">
        <v>736</v>
      </c>
      <c r="Y68" t="s">
        <v>9</v>
      </c>
      <c r="Z68" s="9" t="s">
        <v>556</v>
      </c>
      <c r="AA68" s="9" t="s">
        <v>556</v>
      </c>
      <c r="AB68" s="9" t="s">
        <v>555</v>
      </c>
      <c r="AC68" s="9" t="s">
        <v>719</v>
      </c>
      <c r="AD68" s="9" t="s">
        <v>557</v>
      </c>
      <c r="AE68" t="s">
        <v>621</v>
      </c>
    </row>
    <row r="69" spans="23:31" x14ac:dyDescent="0.3">
      <c r="W69">
        <v>69</v>
      </c>
      <c r="X69" t="s">
        <v>736</v>
      </c>
      <c r="Y69" t="s">
        <v>9</v>
      </c>
      <c r="Z69" s="9" t="s">
        <v>556</v>
      </c>
      <c r="AA69" s="9" t="s">
        <v>556</v>
      </c>
      <c r="AB69" s="9" t="s">
        <v>555</v>
      </c>
      <c r="AC69" s="9" t="s">
        <v>719</v>
      </c>
      <c r="AD69" s="9" t="s">
        <v>557</v>
      </c>
      <c r="AE69" t="s">
        <v>621</v>
      </c>
    </row>
    <row r="70" spans="23:31" x14ac:dyDescent="0.3">
      <c r="W70">
        <v>70</v>
      </c>
      <c r="X70" t="s">
        <v>736</v>
      </c>
      <c r="Y70" t="s">
        <v>9</v>
      </c>
      <c r="Z70" s="9" t="s">
        <v>556</v>
      </c>
      <c r="AA70" s="9" t="s">
        <v>556</v>
      </c>
      <c r="AB70" s="9" t="s">
        <v>555</v>
      </c>
      <c r="AC70" s="9" t="s">
        <v>719</v>
      </c>
      <c r="AD70" s="9" t="s">
        <v>557</v>
      </c>
      <c r="AE70" t="s">
        <v>621</v>
      </c>
    </row>
    <row r="71" spans="23:31" x14ac:dyDescent="0.3">
      <c r="W71">
        <v>71</v>
      </c>
      <c r="X71" t="s">
        <v>736</v>
      </c>
      <c r="Y71" t="s">
        <v>9</v>
      </c>
      <c r="Z71" s="9" t="s">
        <v>556</v>
      </c>
      <c r="AA71" s="9" t="s">
        <v>556</v>
      </c>
      <c r="AB71" s="9" t="s">
        <v>556</v>
      </c>
      <c r="AC71" s="9" t="s">
        <v>645</v>
      </c>
      <c r="AD71" s="9" t="s">
        <v>557</v>
      </c>
      <c r="AE71" t="s">
        <v>621</v>
      </c>
    </row>
    <row r="72" spans="23:31" x14ac:dyDescent="0.3">
      <c r="W72">
        <v>72</v>
      </c>
      <c r="X72" t="s">
        <v>736</v>
      </c>
      <c r="Y72" t="s">
        <v>9</v>
      </c>
      <c r="Z72" s="9" t="s">
        <v>556</v>
      </c>
      <c r="AA72" s="9" t="s">
        <v>556</v>
      </c>
      <c r="AB72" s="9" t="s">
        <v>556</v>
      </c>
      <c r="AC72" s="9" t="s">
        <v>645</v>
      </c>
      <c r="AD72" s="9" t="s">
        <v>557</v>
      </c>
      <c r="AE72" t="s">
        <v>621</v>
      </c>
    </row>
    <row r="73" spans="23:31" x14ac:dyDescent="0.3">
      <c r="W73">
        <v>73</v>
      </c>
      <c r="X73" t="s">
        <v>736</v>
      </c>
      <c r="Y73" t="s">
        <v>9</v>
      </c>
      <c r="Z73" s="9" t="s">
        <v>556</v>
      </c>
      <c r="AA73" s="9" t="s">
        <v>556</v>
      </c>
      <c r="AB73" s="9" t="s">
        <v>556</v>
      </c>
      <c r="AC73" s="9" t="s">
        <v>645</v>
      </c>
      <c r="AD73" s="9" t="s">
        <v>557</v>
      </c>
      <c r="AE73" t="s">
        <v>621</v>
      </c>
    </row>
    <row r="74" spans="23:31" x14ac:dyDescent="0.3">
      <c r="W74">
        <v>74</v>
      </c>
      <c r="X74" t="s">
        <v>736</v>
      </c>
      <c r="Y74" t="s">
        <v>9</v>
      </c>
      <c r="Z74" s="9" t="s">
        <v>556</v>
      </c>
      <c r="AA74" s="9" t="s">
        <v>556</v>
      </c>
      <c r="AB74" s="9" t="s">
        <v>556</v>
      </c>
      <c r="AC74" s="9" t="s">
        <v>645</v>
      </c>
      <c r="AD74" s="9" t="s">
        <v>558</v>
      </c>
      <c r="AE74" t="s">
        <v>660</v>
      </c>
    </row>
    <row r="75" spans="23:31" x14ac:dyDescent="0.3">
      <c r="W75">
        <v>75</v>
      </c>
      <c r="X75" t="s">
        <v>736</v>
      </c>
      <c r="Y75" t="s">
        <v>9</v>
      </c>
      <c r="Z75" s="9" t="s">
        <v>557</v>
      </c>
      <c r="AA75" s="9" t="s">
        <v>556</v>
      </c>
      <c r="AB75" s="9" t="s">
        <v>556</v>
      </c>
      <c r="AC75" s="9" t="s">
        <v>645</v>
      </c>
      <c r="AD75" s="9" t="s">
        <v>558</v>
      </c>
      <c r="AE75" t="s">
        <v>660</v>
      </c>
    </row>
    <row r="76" spans="23:31" x14ac:dyDescent="0.3">
      <c r="W76">
        <v>76</v>
      </c>
      <c r="X76" t="s">
        <v>736</v>
      </c>
      <c r="Y76" t="s">
        <v>9</v>
      </c>
      <c r="Z76" s="9" t="s">
        <v>557</v>
      </c>
      <c r="AA76" s="9" t="s">
        <v>556</v>
      </c>
      <c r="AB76" s="9" t="s">
        <v>556</v>
      </c>
      <c r="AC76" s="9" t="s">
        <v>645</v>
      </c>
      <c r="AD76" s="9" t="s">
        <v>558</v>
      </c>
      <c r="AE76" t="s">
        <v>660</v>
      </c>
    </row>
    <row r="77" spans="23:31" x14ac:dyDescent="0.3">
      <c r="W77">
        <v>77</v>
      </c>
      <c r="X77" t="s">
        <v>737</v>
      </c>
      <c r="Y77" t="s">
        <v>8</v>
      </c>
      <c r="Z77" s="9" t="s">
        <v>557</v>
      </c>
      <c r="AA77" s="9" t="s">
        <v>556</v>
      </c>
      <c r="AB77" s="9" t="s">
        <v>556</v>
      </c>
      <c r="AC77" s="9" t="s">
        <v>646</v>
      </c>
      <c r="AD77" s="9" t="s">
        <v>558</v>
      </c>
      <c r="AE77" t="s">
        <v>660</v>
      </c>
    </row>
    <row r="78" spans="23:31" x14ac:dyDescent="0.3">
      <c r="W78">
        <v>78</v>
      </c>
      <c r="X78" t="s">
        <v>737</v>
      </c>
      <c r="Y78" t="s">
        <v>8</v>
      </c>
      <c r="Z78" s="9" t="s">
        <v>557</v>
      </c>
      <c r="AA78" s="9" t="s">
        <v>556</v>
      </c>
      <c r="AB78" s="9" t="s">
        <v>556</v>
      </c>
      <c r="AC78" s="9" t="s">
        <v>646</v>
      </c>
      <c r="AD78" s="9" t="s">
        <v>558</v>
      </c>
      <c r="AE78" t="s">
        <v>660</v>
      </c>
    </row>
    <row r="79" spans="23:31" x14ac:dyDescent="0.3">
      <c r="W79">
        <v>79</v>
      </c>
      <c r="X79" t="s">
        <v>738</v>
      </c>
      <c r="Y79" t="s">
        <v>8</v>
      </c>
      <c r="Z79" s="9" t="s">
        <v>557</v>
      </c>
      <c r="AA79" s="9" t="s">
        <v>556</v>
      </c>
      <c r="AB79" s="9" t="s">
        <v>556</v>
      </c>
      <c r="AC79" s="9" t="s">
        <v>646</v>
      </c>
      <c r="AD79" s="9" t="s">
        <v>558</v>
      </c>
      <c r="AE79" t="s">
        <v>660</v>
      </c>
    </row>
    <row r="80" spans="23:31" x14ac:dyDescent="0.3">
      <c r="W80">
        <v>80</v>
      </c>
      <c r="X80" t="s">
        <v>739</v>
      </c>
      <c r="Y80" t="s">
        <v>10</v>
      </c>
      <c r="Z80" s="9" t="s">
        <v>557</v>
      </c>
      <c r="AA80" s="9" t="s">
        <v>556</v>
      </c>
      <c r="AB80" s="9" t="s">
        <v>556</v>
      </c>
      <c r="AC80" s="9" t="s">
        <v>646</v>
      </c>
      <c r="AD80" s="9" t="s">
        <v>558</v>
      </c>
      <c r="AE80" t="s">
        <v>661</v>
      </c>
    </row>
    <row r="81" spans="23:31" x14ac:dyDescent="0.3">
      <c r="W81">
        <v>81</v>
      </c>
      <c r="X81" t="s">
        <v>739</v>
      </c>
      <c r="Y81" t="s">
        <v>10</v>
      </c>
      <c r="Z81" s="9" t="s">
        <v>557</v>
      </c>
      <c r="AA81" s="9" t="s">
        <v>556</v>
      </c>
      <c r="AB81" s="9" t="s">
        <v>556</v>
      </c>
      <c r="AC81" s="9" t="s">
        <v>646</v>
      </c>
      <c r="AD81" s="9" t="s">
        <v>558</v>
      </c>
      <c r="AE81" t="s">
        <v>661</v>
      </c>
    </row>
    <row r="82" spans="23:31" x14ac:dyDescent="0.3">
      <c r="W82">
        <v>82</v>
      </c>
      <c r="X82" t="s">
        <v>739</v>
      </c>
      <c r="Y82" t="s">
        <v>10</v>
      </c>
      <c r="Z82" s="9" t="s">
        <v>557</v>
      </c>
      <c r="AA82" s="9" t="s">
        <v>557</v>
      </c>
      <c r="AB82" s="9" t="s">
        <v>556</v>
      </c>
      <c r="AC82" s="9" t="s">
        <v>646</v>
      </c>
      <c r="AD82" s="9" t="s">
        <v>558</v>
      </c>
      <c r="AE82" t="s">
        <v>662</v>
      </c>
    </row>
    <row r="83" spans="23:31" x14ac:dyDescent="0.3">
      <c r="W83">
        <v>83</v>
      </c>
      <c r="X83" t="s">
        <v>739</v>
      </c>
      <c r="Y83" t="s">
        <v>10</v>
      </c>
      <c r="Z83" s="9" t="s">
        <v>557</v>
      </c>
      <c r="AA83" s="9" t="s">
        <v>557</v>
      </c>
      <c r="AB83" s="9" t="s">
        <v>556</v>
      </c>
      <c r="AC83" s="9" t="s">
        <v>646</v>
      </c>
      <c r="AD83" s="9" t="s">
        <v>559</v>
      </c>
      <c r="AE83" t="s">
        <v>662</v>
      </c>
    </row>
    <row r="84" spans="23:31" x14ac:dyDescent="0.3">
      <c r="W84">
        <v>84</v>
      </c>
      <c r="X84" t="s">
        <v>739</v>
      </c>
      <c r="Y84" t="s">
        <v>10</v>
      </c>
      <c r="Z84" s="9" t="s">
        <v>557</v>
      </c>
      <c r="AA84" s="9" t="s">
        <v>557</v>
      </c>
      <c r="AB84" s="9" t="s">
        <v>556</v>
      </c>
      <c r="AC84" s="9" t="s">
        <v>646</v>
      </c>
      <c r="AD84" s="9" t="s">
        <v>559</v>
      </c>
      <c r="AE84" t="s">
        <v>662</v>
      </c>
    </row>
    <row r="85" spans="23:31" x14ac:dyDescent="0.3">
      <c r="W85">
        <v>85</v>
      </c>
      <c r="X85" t="s">
        <v>740</v>
      </c>
      <c r="Y85" t="s">
        <v>8</v>
      </c>
      <c r="Z85" s="9" t="s">
        <v>557</v>
      </c>
      <c r="AA85" s="9" t="s">
        <v>557</v>
      </c>
      <c r="AB85" s="9" t="s">
        <v>556</v>
      </c>
      <c r="AC85" s="9" t="s">
        <v>646</v>
      </c>
      <c r="AD85" s="9" t="s">
        <v>559</v>
      </c>
      <c r="AE85" t="s">
        <v>662</v>
      </c>
    </row>
    <row r="86" spans="23:31" x14ac:dyDescent="0.3">
      <c r="W86">
        <v>86</v>
      </c>
      <c r="X86" t="s">
        <v>740</v>
      </c>
      <c r="Y86" t="s">
        <v>8</v>
      </c>
      <c r="Z86" s="9" t="s">
        <v>557</v>
      </c>
      <c r="AA86" s="9" t="s">
        <v>557</v>
      </c>
      <c r="AB86" s="9" t="s">
        <v>556</v>
      </c>
      <c r="AC86" s="9" t="s">
        <v>646</v>
      </c>
      <c r="AD86" s="9" t="s">
        <v>593</v>
      </c>
      <c r="AE86" t="s">
        <v>663</v>
      </c>
    </row>
    <row r="87" spans="23:31" x14ac:dyDescent="0.3">
      <c r="W87">
        <v>87</v>
      </c>
      <c r="X87" t="s">
        <v>740</v>
      </c>
      <c r="Y87" t="s">
        <v>8</v>
      </c>
      <c r="Z87" s="9" t="s">
        <v>557</v>
      </c>
      <c r="AA87" s="9" t="s">
        <v>557</v>
      </c>
      <c r="AB87" s="9" t="s">
        <v>556</v>
      </c>
      <c r="AC87" s="9" t="s">
        <v>646</v>
      </c>
      <c r="AD87" s="9" t="s">
        <v>593</v>
      </c>
      <c r="AE87" t="s">
        <v>663</v>
      </c>
    </row>
    <row r="88" spans="23:31" x14ac:dyDescent="0.3">
      <c r="W88">
        <v>88</v>
      </c>
      <c r="X88" t="s">
        <v>740</v>
      </c>
      <c r="Y88" t="s">
        <v>8</v>
      </c>
      <c r="Z88" s="9" t="s">
        <v>557</v>
      </c>
      <c r="AA88" s="9" t="s">
        <v>557</v>
      </c>
      <c r="AB88" s="9" t="s">
        <v>556</v>
      </c>
      <c r="AC88" s="9" t="s">
        <v>646</v>
      </c>
      <c r="AD88" s="9" t="s">
        <v>593</v>
      </c>
      <c r="AE88" t="s">
        <v>663</v>
      </c>
    </row>
    <row r="89" spans="23:31" x14ac:dyDescent="0.3">
      <c r="W89">
        <v>89</v>
      </c>
      <c r="X89" t="s">
        <v>740</v>
      </c>
      <c r="Y89" t="s">
        <v>8</v>
      </c>
      <c r="Z89" s="9" t="s">
        <v>558</v>
      </c>
      <c r="AA89" s="9" t="s">
        <v>557</v>
      </c>
      <c r="AB89" s="9" t="s">
        <v>557</v>
      </c>
      <c r="AC89" s="9" t="s">
        <v>647</v>
      </c>
      <c r="AD89" s="9" t="s">
        <v>593</v>
      </c>
      <c r="AE89" t="s">
        <v>663</v>
      </c>
    </row>
    <row r="90" spans="23:31" x14ac:dyDescent="0.3">
      <c r="W90">
        <v>90</v>
      </c>
      <c r="X90" t="s">
        <v>740</v>
      </c>
      <c r="Y90" t="s">
        <v>8</v>
      </c>
      <c r="Z90" s="9" t="s">
        <v>558</v>
      </c>
      <c r="AA90" s="9" t="s">
        <v>557</v>
      </c>
      <c r="AB90" s="9" t="s">
        <v>557</v>
      </c>
      <c r="AC90" s="9" t="s">
        <v>647</v>
      </c>
      <c r="AD90" s="9" t="s">
        <v>593</v>
      </c>
      <c r="AE90" t="s">
        <v>664</v>
      </c>
    </row>
    <row r="91" spans="23:31" x14ac:dyDescent="0.3">
      <c r="W91">
        <v>91</v>
      </c>
      <c r="X91" t="s">
        <v>740</v>
      </c>
      <c r="Y91" t="s">
        <v>8</v>
      </c>
      <c r="Z91" s="9" t="s">
        <v>558</v>
      </c>
      <c r="AA91" s="9" t="s">
        <v>557</v>
      </c>
      <c r="AB91" s="9" t="s">
        <v>557</v>
      </c>
      <c r="AC91" s="9" t="s">
        <v>647</v>
      </c>
      <c r="AD91" s="9" t="s">
        <v>593</v>
      </c>
      <c r="AE91" t="s">
        <v>664</v>
      </c>
    </row>
    <row r="92" spans="23:31" x14ac:dyDescent="0.3">
      <c r="W92">
        <v>92</v>
      </c>
      <c r="X92" t="s">
        <v>740</v>
      </c>
      <c r="Y92" t="s">
        <v>8</v>
      </c>
      <c r="Z92" s="9" t="s">
        <v>558</v>
      </c>
      <c r="AA92" s="9" t="s">
        <v>557</v>
      </c>
      <c r="AB92" s="9" t="s">
        <v>557</v>
      </c>
      <c r="AC92" s="9" t="s">
        <v>647</v>
      </c>
      <c r="AD92" s="9" t="s">
        <v>593</v>
      </c>
      <c r="AE92" t="s">
        <v>664</v>
      </c>
    </row>
    <row r="93" spans="23:31" x14ac:dyDescent="0.3">
      <c r="W93">
        <v>93</v>
      </c>
      <c r="X93" t="s">
        <v>740</v>
      </c>
      <c r="Y93" t="s">
        <v>8</v>
      </c>
      <c r="Z93" s="9" t="s">
        <v>558</v>
      </c>
      <c r="AA93" s="9" t="s">
        <v>558</v>
      </c>
      <c r="AB93" s="9" t="s">
        <v>557</v>
      </c>
      <c r="AC93" s="9" t="s">
        <v>647</v>
      </c>
      <c r="AD93" s="9" t="s">
        <v>593</v>
      </c>
      <c r="AE93" t="s">
        <v>664</v>
      </c>
    </row>
    <row r="94" spans="23:31" x14ac:dyDescent="0.3">
      <c r="W94">
        <v>94</v>
      </c>
      <c r="X94" t="s">
        <v>740</v>
      </c>
      <c r="Y94" t="s">
        <v>8</v>
      </c>
      <c r="Z94" s="9" t="s">
        <v>558</v>
      </c>
      <c r="AA94" s="9" t="s">
        <v>558</v>
      </c>
      <c r="AB94" s="9" t="s">
        <v>557</v>
      </c>
      <c r="AC94" s="9" t="s">
        <v>647</v>
      </c>
      <c r="AD94" s="9" t="s">
        <v>593</v>
      </c>
      <c r="AE94" t="s">
        <v>664</v>
      </c>
    </row>
    <row r="95" spans="23:31" x14ac:dyDescent="0.3">
      <c r="W95">
        <v>95</v>
      </c>
      <c r="X95" t="s">
        <v>741</v>
      </c>
      <c r="Y95" t="s">
        <v>8</v>
      </c>
      <c r="Z95" s="9" t="s">
        <v>558</v>
      </c>
      <c r="AA95" s="9" t="s">
        <v>558</v>
      </c>
      <c r="AB95" s="9" t="s">
        <v>557</v>
      </c>
      <c r="AC95" s="9" t="s">
        <v>720</v>
      </c>
      <c r="AD95" s="9" t="s">
        <v>593</v>
      </c>
      <c r="AE95" t="s">
        <v>665</v>
      </c>
    </row>
    <row r="96" spans="23:31" x14ac:dyDescent="0.3">
      <c r="W96">
        <v>96</v>
      </c>
      <c r="X96" t="s">
        <v>741</v>
      </c>
      <c r="Y96" t="s">
        <v>8</v>
      </c>
      <c r="Z96" s="9" t="s">
        <v>558</v>
      </c>
      <c r="AA96" s="9" t="s">
        <v>558</v>
      </c>
      <c r="AB96" s="9" t="s">
        <v>557</v>
      </c>
      <c r="AC96" s="9" t="s">
        <v>720</v>
      </c>
      <c r="AD96" s="9" t="s">
        <v>593</v>
      </c>
      <c r="AE96" t="s">
        <v>665</v>
      </c>
    </row>
    <row r="97" spans="23:31" x14ac:dyDescent="0.3">
      <c r="W97">
        <v>97</v>
      </c>
      <c r="X97" t="s">
        <v>741</v>
      </c>
      <c r="Y97" t="s">
        <v>8</v>
      </c>
      <c r="Z97" s="9" t="s">
        <v>559</v>
      </c>
      <c r="AA97" s="9" t="s">
        <v>558</v>
      </c>
      <c r="AB97" s="9" t="s">
        <v>558</v>
      </c>
      <c r="AC97" s="9" t="s">
        <v>720</v>
      </c>
      <c r="AD97" s="9" t="s">
        <v>593</v>
      </c>
      <c r="AE97" t="s">
        <v>665</v>
      </c>
    </row>
    <row r="98" spans="23:31" x14ac:dyDescent="0.3">
      <c r="W98">
        <v>98</v>
      </c>
      <c r="X98" t="s">
        <v>742</v>
      </c>
      <c r="Y98" t="s">
        <v>9</v>
      </c>
      <c r="Z98" s="9" t="s">
        <v>559</v>
      </c>
      <c r="AA98" s="9" t="s">
        <v>558</v>
      </c>
      <c r="AB98" s="9" t="s">
        <v>558</v>
      </c>
      <c r="AC98" s="9" t="s">
        <v>720</v>
      </c>
      <c r="AD98" s="9" t="s">
        <v>593</v>
      </c>
      <c r="AE98" t="s">
        <v>665</v>
      </c>
    </row>
    <row r="99" spans="23:31" x14ac:dyDescent="0.3">
      <c r="W99">
        <v>99</v>
      </c>
      <c r="X99" t="s">
        <v>742</v>
      </c>
      <c r="Y99" t="s">
        <v>9</v>
      </c>
      <c r="Z99" s="9" t="s">
        <v>559</v>
      </c>
      <c r="AA99" s="9" t="s">
        <v>559</v>
      </c>
      <c r="AB99" s="9" t="s">
        <v>558</v>
      </c>
      <c r="AC99" s="9" t="s">
        <v>720</v>
      </c>
      <c r="AD99" s="9" t="s">
        <v>593</v>
      </c>
      <c r="AE99" t="s">
        <v>665</v>
      </c>
    </row>
    <row r="100" spans="23:31" x14ac:dyDescent="0.3">
      <c r="W100">
        <v>100</v>
      </c>
      <c r="X100" t="s">
        <v>742</v>
      </c>
      <c r="Y100" t="s">
        <v>9</v>
      </c>
      <c r="Z100" s="9" t="s">
        <v>559</v>
      </c>
      <c r="AA100" s="9" t="s">
        <v>559</v>
      </c>
      <c r="AB100" s="9" t="s">
        <v>559</v>
      </c>
      <c r="AC100" s="9" t="s">
        <v>720</v>
      </c>
      <c r="AD100" s="9" t="s">
        <v>593</v>
      </c>
      <c r="AE100" t="s">
        <v>666</v>
      </c>
    </row>
  </sheetData>
  <phoneticPr fontId="1" type="noConversion"/>
  <pageMargins left="0.7" right="0.7" top="0.75" bottom="0.75" header="0.3" footer="0.3"/>
  <pageSetup orientation="portrait" horizontalDpi="0" verticalDpi="0" r:id="rId1"/>
  <ignoredErrors>
    <ignoredError sqref="Z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2C31-8A9C-4D48-B8DC-2CDACB47BFFA}">
  <dimension ref="A1:M8"/>
  <sheetViews>
    <sheetView workbookViewId="0">
      <selection activeCell="J29" sqref="J29"/>
    </sheetView>
  </sheetViews>
  <sheetFormatPr defaultRowHeight="14.4" x14ac:dyDescent="0.3"/>
  <sheetData>
    <row r="1" spans="1:13" x14ac:dyDescent="0.3">
      <c r="A1" t="s">
        <v>707</v>
      </c>
      <c r="B1" t="s">
        <v>674</v>
      </c>
      <c r="C1" t="s">
        <v>675</v>
      </c>
      <c r="D1" t="s">
        <v>676</v>
      </c>
      <c r="E1" t="s">
        <v>703</v>
      </c>
      <c r="F1" t="s">
        <v>704</v>
      </c>
      <c r="G1" t="s">
        <v>708</v>
      </c>
      <c r="H1" t="s">
        <v>709</v>
      </c>
      <c r="I1" t="s">
        <v>705</v>
      </c>
      <c r="J1" t="s">
        <v>706</v>
      </c>
      <c r="K1" t="s">
        <v>710</v>
      </c>
      <c r="L1" t="s">
        <v>711</v>
      </c>
      <c r="M1" t="s">
        <v>712</v>
      </c>
    </row>
    <row r="2" spans="1:13" x14ac:dyDescent="0.3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3">
      <c r="A3">
        <v>7</v>
      </c>
      <c r="B3">
        <v>100</v>
      </c>
      <c r="C3">
        <v>1</v>
      </c>
      <c r="D3">
        <v>0</v>
      </c>
      <c r="E3">
        <v>0</v>
      </c>
      <c r="F3">
        <v>0</v>
      </c>
      <c r="G3">
        <v>0</v>
      </c>
      <c r="H3">
        <v>4</v>
      </c>
      <c r="I3">
        <v>1</v>
      </c>
      <c r="J3">
        <v>1</v>
      </c>
      <c r="K3">
        <v>0</v>
      </c>
      <c r="L3">
        <v>0</v>
      </c>
      <c r="M3">
        <v>0</v>
      </c>
    </row>
    <row r="4" spans="1:13" x14ac:dyDescent="0.3">
      <c r="A4">
        <v>8</v>
      </c>
      <c r="B4">
        <v>100</v>
      </c>
      <c r="C4">
        <v>100</v>
      </c>
      <c r="D4">
        <v>2</v>
      </c>
      <c r="E4">
        <v>1</v>
      </c>
      <c r="F4">
        <v>0</v>
      </c>
      <c r="G4">
        <v>0</v>
      </c>
      <c r="H4">
        <v>6</v>
      </c>
      <c r="I4">
        <v>1</v>
      </c>
      <c r="J4">
        <v>1</v>
      </c>
      <c r="K4">
        <v>1</v>
      </c>
      <c r="L4">
        <v>0</v>
      </c>
      <c r="M4">
        <v>0</v>
      </c>
    </row>
    <row r="5" spans="1:13" x14ac:dyDescent="0.3">
      <c r="A5">
        <v>9</v>
      </c>
      <c r="B5">
        <v>100</v>
      </c>
      <c r="C5">
        <v>100</v>
      </c>
      <c r="D5">
        <v>100</v>
      </c>
      <c r="E5">
        <v>3</v>
      </c>
      <c r="F5">
        <v>2</v>
      </c>
      <c r="G5">
        <v>1</v>
      </c>
      <c r="H5">
        <v>8</v>
      </c>
      <c r="I5">
        <v>2</v>
      </c>
      <c r="J5">
        <v>1</v>
      </c>
      <c r="K5">
        <v>1</v>
      </c>
      <c r="L5">
        <v>1</v>
      </c>
      <c r="M5">
        <v>0</v>
      </c>
    </row>
    <row r="6" spans="1:13" x14ac:dyDescent="0.3">
      <c r="A6">
        <v>10</v>
      </c>
      <c r="B6">
        <v>100</v>
      </c>
      <c r="C6">
        <v>100</v>
      </c>
      <c r="D6">
        <v>100</v>
      </c>
      <c r="E6">
        <v>3</v>
      </c>
      <c r="F6">
        <v>3</v>
      </c>
      <c r="G6">
        <v>2</v>
      </c>
      <c r="H6">
        <v>9</v>
      </c>
      <c r="I6">
        <v>3</v>
      </c>
      <c r="J6">
        <v>2</v>
      </c>
      <c r="K6">
        <v>1</v>
      </c>
      <c r="L6">
        <v>1</v>
      </c>
      <c r="M6">
        <v>0</v>
      </c>
    </row>
    <row r="7" spans="1:13" x14ac:dyDescent="0.3">
      <c r="A7">
        <v>11</v>
      </c>
      <c r="B7">
        <v>100</v>
      </c>
      <c r="C7">
        <v>100</v>
      </c>
      <c r="D7">
        <v>100</v>
      </c>
      <c r="E7">
        <v>4</v>
      </c>
      <c r="F7">
        <v>3</v>
      </c>
      <c r="G7">
        <v>3</v>
      </c>
      <c r="H7">
        <v>10</v>
      </c>
      <c r="I7">
        <v>3</v>
      </c>
      <c r="J7">
        <v>3</v>
      </c>
      <c r="K7">
        <v>2</v>
      </c>
      <c r="L7">
        <v>1</v>
      </c>
      <c r="M7">
        <v>0</v>
      </c>
    </row>
    <row r="8" spans="1:13" x14ac:dyDescent="0.3">
      <c r="A8">
        <v>12</v>
      </c>
      <c r="B8">
        <v>100</v>
      </c>
      <c r="C8">
        <v>100</v>
      </c>
      <c r="D8">
        <v>100</v>
      </c>
      <c r="E8">
        <v>4</v>
      </c>
      <c r="F8">
        <v>4</v>
      </c>
      <c r="G8">
        <v>3</v>
      </c>
      <c r="H8">
        <v>100</v>
      </c>
      <c r="I8">
        <v>4</v>
      </c>
      <c r="J8">
        <v>3</v>
      </c>
      <c r="K8">
        <v>2</v>
      </c>
      <c r="L8">
        <v>1</v>
      </c>
      <c r="M8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A451-D0A3-441F-B457-19D047701FFD}">
  <dimension ref="A1:N101"/>
  <sheetViews>
    <sheetView workbookViewId="0">
      <selection activeCell="E31" sqref="E31"/>
    </sheetView>
  </sheetViews>
  <sheetFormatPr defaultRowHeight="14.4" x14ac:dyDescent="0.3"/>
  <cols>
    <col min="2" max="2" width="176" customWidth="1"/>
    <col min="5" max="5" width="72.77734375" customWidth="1"/>
    <col min="8" max="8" width="64.5546875" customWidth="1"/>
    <col min="11" max="11" width="59" customWidth="1"/>
    <col min="14" max="14" width="67.33203125" customWidth="1"/>
  </cols>
  <sheetData>
    <row r="1" spans="1:14" x14ac:dyDescent="0.3">
      <c r="B1" t="s">
        <v>754</v>
      </c>
      <c r="E1" t="s">
        <v>755</v>
      </c>
      <c r="H1" t="s">
        <v>756</v>
      </c>
      <c r="K1" t="s">
        <v>757</v>
      </c>
      <c r="N1" t="s">
        <v>758</v>
      </c>
    </row>
    <row r="2" spans="1:14" x14ac:dyDescent="0.3">
      <c r="A2">
        <v>1</v>
      </c>
      <c r="B2" t="str">
        <f ca="1">_xlfn.CONCAT(Swords!B2,", ", Swords!C2,", Int: ", Swords!D2, ", Communication: ", Swords!E2, ", Languages: ", Swords!F2, ", RM?: ", Swords!M2, "|Powers: ", Swords!G2, " ", Swords!H2, " ", Swords!I2, " ", Swords!J2, " ", Swords!K2, " ", Swords!L2, " ", Swords!N2, " ", Swords!O2, " ",Swords!P2," ",Swords!Q2, " ",Swords!R2," ",Swords!S2, "| Addtl Mod: ", Swords!T2, " ", Swords!U2)</f>
        <v xml:space="preserve">Short, +2, Int: 0, Communication: Nil, Languages: Nil, RM?: No|Powers:            | Addtl Mod: No </v>
      </c>
      <c r="D2">
        <v>1</v>
      </c>
      <c r="E2" t="str">
        <f ca="1">_xlfn.CONCAT('Spell Scrolls'!B2, ", ", 'Spell Scrolls'!C2, " Spells| ", 'Spell Scrolls'!E2, "| ", 'Spell Scrolls'!G2, " |",'Spell Scrolls'!I2)</f>
        <v>Clerical, 2 Spells| Speak With Animal| Find Traps |</v>
      </c>
      <c r="G2">
        <v>1</v>
      </c>
      <c r="H2" t="str">
        <f ca="1">_xlfn.CONCAT(Armor!B2, ": ", Armor!C2, ", ", Armor!D2, ". Spec. Power: ", Armor!E2, "| &amp; Shield?: ", Armor!F2, " ",Armor!G2)</f>
        <v xml:space="preserve">Human: Plate &amp; Shield, +5. Spec. Power: Energy Drain| &amp; Shield?: +5 </v>
      </c>
      <c r="J2">
        <v>1</v>
      </c>
      <c r="K2" t="str">
        <f ca="1">_xlfn.CONCAT('Misc. Weapons'!B2, ", ", 'Misc. Weapons'!C2, "| Addtl. Mod: ", 'Misc. Weapons'!D2, " ",'Misc. Weapons'!E2)</f>
        <v>Club, +1| Addtl. Mod: +1 Reptiles and Dinosaurs</v>
      </c>
      <c r="M2">
        <v>1</v>
      </c>
      <c r="N2" t="str">
        <f ca="1">IF('Missile Weapons'!B2="", _xlfn.CONCAT('Missile Weapons'!I2, ", ",'Missile Weapons'!J2,"| No. Found: ", 'Missile Weapons'!K2, " ",'Missile Weapons'!L2), _xlfn.CONCAT('Missile Weapons'!B2, ", ",'Missile Weapons'!C2, "| Range Mult.: ", 'Missile Weapons'!D2, "| Addtl. Mod.: ", 'Missile Weapons'!E2, " ", 'Missile Weapons'!F2))</f>
        <v xml:space="preserve">Arrows, +4| No. Found: 8 </v>
      </c>
    </row>
    <row r="3" spans="1:14" x14ac:dyDescent="0.3">
      <c r="A3">
        <v>2</v>
      </c>
      <c r="B3" t="str">
        <f ca="1">_xlfn.CONCAT(Swords!B3,", ", Swords!C3,", Int: ", Swords!D3, ", Communication: ", Swords!E3, ", Languages: ", Swords!F3, ", RM?: ", Swords!M3, "|Powers: ", Swords!G3, " ", Swords!H3, " ", Swords!I3, " ", Swords!J3, " ", Swords!K3, " ", Swords!L3, " ", Swords!N3, " ", Swords!O3, " ",Swords!P3," ",Swords!Q3, " ",Swords!R3," ",Swords!S3, "| Addtl Mod: ", Swords!T3, " ", Swords!U3)</f>
        <v xml:space="preserve">Bastard, +2, Int: 0, Communication: Nil, Languages: Nil, RM?: No|Powers:            | Addtl Mod: No </v>
      </c>
      <c r="D3">
        <v>2</v>
      </c>
      <c r="E3" t="str">
        <f ca="1">_xlfn.CONCAT('Spell Scrolls'!B3, ", ", 'Spell Scrolls'!C3, " Spells| ", 'Spell Scrolls'!E3, "| ", 'Spell Scrolls'!G3, " |",'Spell Scrolls'!I3)</f>
        <v>Magical, 2 Spells| Mirror Image| Mirror Image |</v>
      </c>
      <c r="G3">
        <v>2</v>
      </c>
      <c r="H3" t="str">
        <f ca="1">_xlfn.CONCAT(Armor!B3, ": ", Armor!C3, ", ", Armor!D3, ". Spec. Power: ", Armor!E3, "| &amp; Shield?: ", Armor!F3, " ",Armor!G3)</f>
        <v xml:space="preserve">Human: Chain, +1. Spec. Power: No| &amp; Shield?: No </v>
      </c>
      <c r="J3">
        <v>2</v>
      </c>
      <c r="K3" t="str">
        <f ca="1">_xlfn.CONCAT('Misc. Weapons'!B3, ", ", 'Misc. Weapons'!C3, "| Addtl. Mod: ", 'Misc. Weapons'!D3, " ",'Misc. Weapons'!E3)</f>
        <v xml:space="preserve">Polearm, +1| Addtl. Mod: No </v>
      </c>
      <c r="M3">
        <v>2</v>
      </c>
      <c r="N3" t="str">
        <f ca="1">IF('Missile Weapons'!B3="", _xlfn.CONCAT('Missile Weapons'!I3, ", ",'Missile Weapons'!J3,"| No. Found: ", 'Missile Weapons'!K3, " ",'Missile Weapons'!L3), _xlfn.CONCAT('Missile Weapons'!B3, ", ",'Missile Weapons'!C3, "| Range Mult.: ", 'Missile Weapons'!D3, "| Addtl. Mod.: ", 'Missile Weapons'!E3, " ", 'Missile Weapons'!F3))</f>
        <v xml:space="preserve">Quarrels, +3| No. Found: 9 </v>
      </c>
    </row>
    <row r="4" spans="1:14" x14ac:dyDescent="0.3">
      <c r="A4">
        <v>3</v>
      </c>
      <c r="B4" t="str">
        <f ca="1">_xlfn.CONCAT(Swords!B4,", ", Swords!C4,", Int: ", Swords!D4, ", Communication: ", Swords!E4, ", Languages: ", Swords!F4, ", RM?: ", Swords!M4, "|Powers: ", Swords!G4, " ", Swords!H4, " ", Swords!I4, " ", Swords!J4, " ", Swords!K4, " ", Swords!L4, " ", Swords!N4, " ", Swords!O4, " ",Swords!P4," ",Swords!Q4, " ",Swords!R4," ",Swords!S4, "| Addtl Mod: ", Swords!T4, " ", Swords!U4)</f>
        <v>Normal, +1, Int: 0, Communication: Nil, Languages: Nil, RM?: No|Powers:            | Addtl Mod: +1 Constructs</v>
      </c>
      <c r="D4">
        <v>3</v>
      </c>
      <c r="E4" t="str">
        <f ca="1">_xlfn.CONCAT('Spell Scrolls'!B4, ", ", 'Spell Scrolls'!C4, " Spells| ", 'Spell Scrolls'!E4, "| ", 'Spell Scrolls'!G4, " |",'Spell Scrolls'!I4)</f>
        <v>Magical, 1 Spells| Read Languages|  |</v>
      </c>
      <c r="G4">
        <v>3</v>
      </c>
      <c r="H4" t="str">
        <f ca="1">_xlfn.CONCAT(Armor!B4, ": ", Armor!C4, ", ", Armor!D4, ". Spec. Power: ", Armor!E4, "| &amp; Shield?: ", Armor!F4, " ",Armor!G4)</f>
        <v xml:space="preserve">Human: Banded &amp; Shield, +1. Spec. Power: No| &amp; Shield?: +1 </v>
      </c>
      <c r="J4">
        <v>3</v>
      </c>
      <c r="K4" t="str">
        <f ca="1">_xlfn.CONCAT('Misc. Weapons'!B4, ", ", 'Misc. Weapons'!C4, "| Addtl. Mod: ", 'Misc. Weapons'!D4, " ",'Misc. Weapons'!E4)</f>
        <v xml:space="preserve">Hammer, War, +2| Addtl. Mod: No </v>
      </c>
      <c r="M4">
        <v>3</v>
      </c>
      <c r="N4" t="str">
        <f ca="1">IF('Missile Weapons'!B4="", _xlfn.CONCAT('Missile Weapons'!I4, ", ",'Missile Weapons'!J4,"| No. Found: ", 'Missile Weapons'!K4, " ",'Missile Weapons'!L4), _xlfn.CONCAT('Missile Weapons'!B4, ", ",'Missile Weapons'!C4, "| Range Mult.: ", 'Missile Weapons'!D4, "| Addtl. Mod.: ", 'Missile Weapons'!E4, " ", 'Missile Weapons'!F4))</f>
        <v>Arrows, +1| No. Found: 7 Transporting</v>
      </c>
    </row>
    <row r="5" spans="1:14" x14ac:dyDescent="0.3">
      <c r="A5">
        <v>4</v>
      </c>
      <c r="B5" t="str">
        <f ca="1">_xlfn.CONCAT(Swords!B5,", ", Swords!C5,", Int: ", Swords!D5, ", Communication: ", Swords!E5, ", Languages: ", Swords!F5, ", RM?: ", Swords!M5, "|Powers: ", Swords!G5, " ", Swords!H5, " ", Swords!I5, " ", Swords!J5, " ", Swords!K5, " ", Swords!L5, " ", Swords!N5, " ", Swords!O5, " ",Swords!P5," ",Swords!Q5, " ",Swords!R5," ",Swords!S5, "| Addtl Mod: ", Swords!T5, " ", Swords!U5)</f>
        <v>Short, +1, Int: 9, Communication: Empathy, Languages: Nil, RM?: No|Powers: Detect Sloping Passages Detect Sloping Passages Detect Shifting Walls and Rooms         | Addtl Mod: +3 Reptiles and Dinosaurs</v>
      </c>
      <c r="D5">
        <v>4</v>
      </c>
      <c r="E5" t="str">
        <f ca="1">_xlfn.CONCAT('Spell Scrolls'!B5, ", ", 'Spell Scrolls'!C5, " Spells| ", 'Spell Scrolls'!E5, "| ", 'Spell Scrolls'!G5, " |",'Spell Scrolls'!I5)</f>
        <v>Clerical, 3 Spells| Remove Curse| Commune |Cure Light Wounds</v>
      </c>
      <c r="G5">
        <v>4</v>
      </c>
      <c r="H5" t="str">
        <f ca="1">_xlfn.CONCAT(Armor!B5, ": ", Armor!C5, ", ", Armor!D5, ". Spec. Power: ", Armor!E5, "| &amp; Shield?: ", Armor!F5, " ",Armor!G5)</f>
        <v xml:space="preserve">Human: Banded, +1. Spec. Power: Ethereality| &amp; Shield?: No </v>
      </c>
      <c r="J5">
        <v>4</v>
      </c>
      <c r="K5" t="str">
        <f ca="1">_xlfn.CONCAT('Misc. Weapons'!B5, ", ", 'Misc. Weapons'!C5, "| Addtl. Mod: ", 'Misc. Weapons'!D5, " ",'Misc. Weapons'!E5)</f>
        <v xml:space="preserve">Blackjack, +2| Addtl. Mod: No </v>
      </c>
      <c r="M5">
        <v>4</v>
      </c>
      <c r="N5" t="str">
        <f ca="1">IF('Missile Weapons'!B5="", _xlfn.CONCAT('Missile Weapons'!I5, ", ",'Missile Weapons'!J5,"| No. Found: ", 'Missile Weapons'!K5, " ",'Missile Weapons'!L5), _xlfn.CONCAT('Missile Weapons'!B5, ", ",'Missile Weapons'!C5, "| Range Mult.: ", 'Missile Weapons'!D5, "| Addtl. Mod.: ", 'Missile Weapons'!E5, " ", 'Missile Weapons'!F5))</f>
        <v xml:space="preserve">Arrows, +3| No. Found: 9 </v>
      </c>
    </row>
    <row r="6" spans="1:14" x14ac:dyDescent="0.3">
      <c r="A6">
        <v>5</v>
      </c>
      <c r="B6" t="str">
        <f ca="1">_xlfn.CONCAT(Swords!B6,", ", Swords!C6,", Int: ", Swords!D6, ", Communication: ", Swords!E6, ", Languages: ", Swords!F6, ", RM?: ", Swords!M6, "|Powers: ", Swords!G6, " ", Swords!H6, " ", Swords!I6, " ", Swords!J6, " ", Swords!K6, " ", Swords!L6, " ", Swords!N6, " ", Swords!O6, " ",Swords!P6," ",Swords!Q6, " ",Swords!R6," ",Swords!S6, "| Addtl Mod: ", Swords!T6, " ", Swords!U6)</f>
        <v xml:space="preserve">Normal, +1, Int: 0, Communication: Nil, Languages: Nil, RM?: No|Powers:            | Addtl Mod: No </v>
      </c>
      <c r="D6">
        <v>5</v>
      </c>
      <c r="E6" t="str">
        <f ca="1">_xlfn.CONCAT('Spell Scrolls'!B6, ", ", 'Spell Scrolls'!C6, " Spells| ", 'Spell Scrolls'!E6, "| ", 'Spell Scrolls'!G6, " |",'Spell Scrolls'!I6)</f>
        <v>Clerical, 1 Spells| Remove Fear|  |</v>
      </c>
      <c r="G6">
        <v>5</v>
      </c>
      <c r="H6" t="str">
        <f ca="1">_xlfn.CONCAT(Armor!B6, ": ", Armor!C6, ", ", Armor!D6, ". Spec. Power: ", Armor!E6, "| &amp; Shield?: ", Armor!F6, " ",Armor!G6)</f>
        <v xml:space="preserve">Human: Plate, +1. Spec. Power: No| &amp; Shield?: No </v>
      </c>
      <c r="J6">
        <v>5</v>
      </c>
      <c r="K6" t="str">
        <f ca="1">_xlfn.CONCAT('Misc. Weapons'!B6, ", ", 'Misc. Weapons'!C6, "| Addtl. Mod: ", 'Misc. Weapons'!D6, " ",'Misc. Weapons'!E6)</f>
        <v xml:space="preserve">Axe, Hand (Returning), +1| Addtl. Mod: No </v>
      </c>
      <c r="M6">
        <v>5</v>
      </c>
      <c r="N6" t="str">
        <f ca="1">IF('Missile Weapons'!B6="", _xlfn.CONCAT('Missile Weapons'!I6, ", ",'Missile Weapons'!J6,"| No. Found: ", 'Missile Weapons'!K6, " ",'Missile Weapons'!L6), _xlfn.CONCAT('Missile Weapons'!B6, ", ",'Missile Weapons'!C6, "| Range Mult.: ", 'Missile Weapons'!D6, "| Addtl. Mod.: ", 'Missile Weapons'!E6, " ", 'Missile Weapons'!F6))</f>
        <v xml:space="preserve">Shortbow, +1| Range Mult.: 1x| Addtl. Mod.: No </v>
      </c>
    </row>
    <row r="7" spans="1:14" x14ac:dyDescent="0.3">
      <c r="A7">
        <v>6</v>
      </c>
      <c r="B7" t="str">
        <f ca="1">_xlfn.CONCAT(Swords!B7,", ", Swords!C7,", Int: ", Swords!D7, ", Communication: ", Swords!E7, ", Languages: ", Swords!F7, ", RM?: ", Swords!M7, "|Powers: ", Swords!G7, " ", Swords!H7, " ", Swords!I7, " ", Swords!J7, " ", Swords!K7, " ", Swords!L7, " ", Swords!N7, " ", Swords!O7, " ",Swords!P7," ",Swords!Q7, " ",Swords!R7," ",Swords!S7, "| Addtl Mod: ", Swords!T7, " ", Swords!U7)</f>
        <v xml:space="preserve">Bastard, +2, Int: 0, Communication: Nil, Languages: Nil, RM?: No|Powers:            | Addtl Mod: No </v>
      </c>
      <c r="D7">
        <v>6</v>
      </c>
      <c r="E7" t="str">
        <f ca="1">_xlfn.CONCAT('Spell Scrolls'!B7, ", ", 'Spell Scrolls'!C7, " Spells| ", 'Spell Scrolls'!E7, "| ", 'Spell Scrolls'!G7, " |",'Spell Scrolls'!I7)</f>
        <v>Magical, 2 Spells| Sleep| Woodform |</v>
      </c>
      <c r="G7">
        <v>6</v>
      </c>
      <c r="H7" t="str">
        <f ca="1">_xlfn.CONCAT(Armor!B7, ": ", Armor!C7, ", ", Armor!D7, ". Spec. Power: ", Armor!E7, "| &amp; Shield?: ", Armor!F7, " ",Armor!G7)</f>
        <v xml:space="preserve">Halfling: Leather, +3. Spec. Power: No| &amp; Shield?: No </v>
      </c>
      <c r="J7">
        <v>6</v>
      </c>
      <c r="K7" t="str">
        <f ca="1">_xlfn.CONCAT('Misc. Weapons'!B7, ", ", 'Misc. Weapons'!C7, "| Addtl. Mod: ", 'Misc. Weapons'!D7, " ",'Misc. Weapons'!E7)</f>
        <v xml:space="preserve">Mace, +1| Addtl. Mod: No </v>
      </c>
      <c r="M7">
        <v>6</v>
      </c>
      <c r="N7" t="str">
        <f ca="1">IF('Missile Weapons'!B7="", _xlfn.CONCAT('Missile Weapons'!I7, ", ",'Missile Weapons'!J7,"| No. Found: ", 'Missile Weapons'!K7, " ",'Missile Weapons'!L7), _xlfn.CONCAT('Missile Weapons'!B7, ", ",'Missile Weapons'!C7, "| Range Mult.: ", 'Missile Weapons'!D7, "| Addtl. Mod.: ", 'Missile Weapons'!E7, " ", 'Missile Weapons'!F7))</f>
        <v xml:space="preserve">Arrows, +3| No. Found: 9 </v>
      </c>
    </row>
    <row r="8" spans="1:14" x14ac:dyDescent="0.3">
      <c r="A8">
        <v>7</v>
      </c>
      <c r="B8" t="str">
        <f ca="1">_xlfn.CONCAT(Swords!B8,", ", Swords!C8,", Int: ", Swords!D8, ", Communication: ", Swords!E8, ", Languages: ", Swords!F8, ", RM?: ", Swords!M8, "|Powers: ", Swords!G8, " ", Swords!H8, " ", Swords!I8, " ", Swords!J8, " ", Swords!K8, " ", Swords!L8, " ", Swords!N8, " ", Swords!O8, " ",Swords!P8," ",Swords!Q8, " ",Swords!R8," ",Swords!S8, "| Addtl Mod: ", Swords!T8, " ", Swords!U8)</f>
        <v>Normal, +1, Int: 0, Communication: Nil, Languages: Nil, RM?: No|Powers:            | Addtl Mod: +2 Lycanthropes</v>
      </c>
      <c r="D8">
        <v>7</v>
      </c>
      <c r="E8" t="str">
        <f ca="1">_xlfn.CONCAT('Spell Scrolls'!B8, ", ", 'Spell Scrolls'!C8, " Spells| ", 'Spell Scrolls'!E8, "| ", 'Spell Scrolls'!G8, " |",'Spell Scrolls'!I8)</f>
        <v>Magical, 1 Spells| Sleep|  |</v>
      </c>
      <c r="G8">
        <v>7</v>
      </c>
      <c r="H8" t="str">
        <f ca="1">_xlfn.CONCAT(Armor!B8, ": ", Armor!C8, ", ", Armor!D8, ". Spec. Power: ", Armor!E8, "| &amp; Shield?: ", Armor!F8, " ",Armor!G8)</f>
        <v xml:space="preserve">Human: Shield, +2. Spec. Power: No| &amp; Shield?: No </v>
      </c>
      <c r="J8">
        <v>7</v>
      </c>
      <c r="K8" t="str">
        <f ca="1">_xlfn.CONCAT('Misc. Weapons'!B8, ", ", 'Misc. Weapons'!C8, "| Addtl. Mod: ", 'Misc. Weapons'!D8, " ",'Misc. Weapons'!E8)</f>
        <v xml:space="preserve">Dagger, +3| Addtl. Mod: No </v>
      </c>
      <c r="M8">
        <v>7</v>
      </c>
      <c r="N8" t="str">
        <f ca="1">IF('Missile Weapons'!B8="", _xlfn.CONCAT('Missile Weapons'!I8, ", ",'Missile Weapons'!J8,"| No. Found: ", 'Missile Weapons'!K8, " ",'Missile Weapons'!L8), _xlfn.CONCAT('Missile Weapons'!B8, ", ",'Missile Weapons'!C8, "| Range Mult.: ", 'Missile Weapons'!D8, "| Addtl. Mod.: ", 'Missile Weapons'!E8, " ", 'Missile Weapons'!F8))</f>
        <v>Sling, +1| Range Mult.: 1x| Addtl. Mod.: Talent Deflecting</v>
      </c>
    </row>
    <row r="9" spans="1:14" x14ac:dyDescent="0.3">
      <c r="A9">
        <v>8</v>
      </c>
      <c r="B9" t="str">
        <f ca="1">_xlfn.CONCAT(Swords!B9,", ", Swords!C9,", Int: ", Swords!D9, ", Communication: ", Swords!E9, ", Languages: ", Swords!F9, ", RM?: ", Swords!M9, "|Powers: ", Swords!G9, " ", Swords!H9, " ", Swords!I9, " ", Swords!J9, " ", Swords!K9, " ", Swords!L9, " ", Swords!N9, " ", Swords!O9, " ",Swords!P9," ",Swords!Q9, " ",Swords!R9," ",Swords!S9, "| Addtl Mod: ", Swords!T9, " ", Swords!U9)</f>
        <v xml:space="preserve">Two-handed, +1, Int: 0, Communication: Nil, Languages: Nil, RM?: No|Powers:            | Addtl Mod: No </v>
      </c>
      <c r="D9">
        <v>8</v>
      </c>
      <c r="E9" t="str">
        <f ca="1">_xlfn.CONCAT('Spell Scrolls'!B9, ", ", 'Spell Scrolls'!C9, " Spells| ", 'Spell Scrolls'!E9, "| ", 'Spell Scrolls'!G9, " |",'Spell Scrolls'!I9)</f>
        <v>Magical, 1 Spells| Lightnin Bolt|  |</v>
      </c>
      <c r="G9">
        <v>8</v>
      </c>
      <c r="H9" t="str">
        <f ca="1">_xlfn.CONCAT(Armor!B9, ": ", Armor!C9, ", ", Armor!D9, ". Spec. Power: ", Armor!E9, "| &amp; Shield?: ", Armor!F9, " ",Armor!G9)</f>
        <v xml:space="preserve">Human: Leather, +1. Spec. Power: No| &amp; Shield?: No </v>
      </c>
      <c r="J9">
        <v>8</v>
      </c>
      <c r="K9" t="str">
        <f ca="1">_xlfn.CONCAT('Misc. Weapons'!B9, ", ", 'Misc. Weapons'!C9, "| Addtl. Mod: ", 'Misc. Weapons'!D9, " ",'Misc. Weapons'!E9)</f>
        <v>Dagger, +1| Addtl. Mod: +2 Lycanthropes</v>
      </c>
      <c r="M9">
        <v>8</v>
      </c>
      <c r="N9" t="str">
        <f ca="1">IF('Missile Weapons'!B9="", _xlfn.CONCAT('Missile Weapons'!I9, ", ",'Missile Weapons'!J9,"| No. Found: ", 'Missile Weapons'!K9, " ",'Missile Weapons'!L9), _xlfn.CONCAT('Missile Weapons'!B9, ", ",'Missile Weapons'!C9, "| Range Mult.: ", 'Missile Weapons'!D9, "| Addtl. Mod.: ", 'Missile Weapons'!E9, " ", 'Missile Weapons'!F9))</f>
        <v xml:space="preserve">Sling Stones, +4| No. Found: 8 </v>
      </c>
    </row>
    <row r="10" spans="1:14" x14ac:dyDescent="0.3">
      <c r="A10">
        <v>9</v>
      </c>
      <c r="B10" t="str">
        <f ca="1">_xlfn.CONCAT(Swords!B10,", ", Swords!C10,", Int: ", Swords!D10, ", Communication: ", Swords!E10, ", Languages: ", Swords!F10, ", RM?: ", Swords!M10, "|Powers: ", Swords!G10, " ", Swords!H10, " ", Swords!I10, " ", Swords!J10, " ", Swords!K10, " ", Swords!L10, " ", Swords!N10, " ", Swords!O10, " ",Swords!P10," ",Swords!Q10, " ",Swords!R10," ",Swords!S10, "| Addtl Mod: ", Swords!T10, " ", Swords!U10)</f>
        <v xml:space="preserve">Normal, +1, Int: 0, Communication: Nil, Languages: Nil, RM?: No|Powers:            | Addtl Mod: No </v>
      </c>
      <c r="D10">
        <v>9</v>
      </c>
      <c r="E10" t="str">
        <f ca="1">_xlfn.CONCAT('Spell Scrolls'!B10, ", ", 'Spell Scrolls'!C10, " Spells| ", 'Spell Scrolls'!E10, "| ", 'Spell Scrolls'!G10, " |",'Spell Scrolls'!I10)</f>
        <v>Magical, 1 Spells| Permancence|  |</v>
      </c>
      <c r="G10">
        <v>9</v>
      </c>
      <c r="H10" t="str">
        <f ca="1">_xlfn.CONCAT(Armor!B10, ": ", Armor!C10, ", ", Armor!D10, ". Spec. Power: ", Armor!E10, "| &amp; Shield?: ", Armor!F10, " ",Armor!G10)</f>
        <v xml:space="preserve">Dwarf: Chain, +1. Spec. Power: No| &amp; Shield?: No </v>
      </c>
      <c r="J10">
        <v>9</v>
      </c>
      <c r="K10" t="str">
        <f ca="1">_xlfn.CONCAT('Misc. Weapons'!B10, ", ", 'Misc. Weapons'!C10, "| Addtl. Mod: ", 'Misc. Weapons'!D10, " ",'Misc. Weapons'!E10)</f>
        <v>Axe, Hand, +1| Addtl. Mod: +1 Enchanted Monsters</v>
      </c>
      <c r="M10">
        <v>9</v>
      </c>
      <c r="N10" t="str">
        <f ca="1">IF('Missile Weapons'!B10="", _xlfn.CONCAT('Missile Weapons'!I10, ", ",'Missile Weapons'!J10,"| No. Found: ", 'Missile Weapons'!K10, " ",'Missile Weapons'!L10), _xlfn.CONCAT('Missile Weapons'!B10, ", ",'Missile Weapons'!C10, "| Range Mult.: ", 'Missile Weapons'!D10, "| Addtl. Mod.: ", 'Missile Weapons'!E10, " ", 'Missile Weapons'!F10))</f>
        <v>Light Crossbow, +1| Range Mult.: 1x| Addtl. Mod.: Talent Speeding</v>
      </c>
    </row>
    <row r="11" spans="1:14" x14ac:dyDescent="0.3">
      <c r="A11">
        <v>10</v>
      </c>
      <c r="B11" t="str">
        <f ca="1">_xlfn.CONCAT(Swords!B11,", ", Swords!C11,", Int: ", Swords!D11, ", Communication: ", Swords!E11, ", Languages: ", Swords!F11, ", RM?: ", Swords!M11, "|Powers: ", Swords!G11, " ", Swords!H11, " ", Swords!I11, " ", Swords!J11, " ", Swords!K11, " ", Swords!L11, " ", Swords!N11, " ", Swords!O11, " ",Swords!P11," ",Swords!Q11, " ",Swords!R11," ",Swords!S11, "| Addtl Mod: ", Swords!T11, " ", Swords!U11)</f>
        <v>Normal, +1, Int: 0, Communication: Nil, Languages: Nil, RM?: No|Powers:            | Addtl Mod: Talent Watching</v>
      </c>
      <c r="D11">
        <v>10</v>
      </c>
      <c r="E11" t="str">
        <f ca="1">_xlfn.CONCAT('Spell Scrolls'!B11, ", ", 'Spell Scrolls'!C11, " Spells| ", 'Spell Scrolls'!E11, "| ", 'Spell Scrolls'!G11, " |",'Spell Scrolls'!I11)</f>
        <v>Magical, 2 Spells| Growth of Plants| Phantasmal Force |</v>
      </c>
      <c r="G11">
        <v>10</v>
      </c>
      <c r="H11" t="str">
        <f ca="1">_xlfn.CONCAT(Armor!B11, ": ", Armor!C11, ", ", Armor!D11, ". Spec. Power: ", Armor!E11, "| &amp; Shield?: ", Armor!F11, " ",Armor!G11)</f>
        <v xml:space="preserve">Human: Banded &amp; Shield, +1. Spec. Power: Ethereality| &amp; Shield?: +2 </v>
      </c>
      <c r="J11">
        <v>10</v>
      </c>
      <c r="K11" t="str">
        <f ca="1">_xlfn.CONCAT('Misc. Weapons'!B11, ", ", 'Misc. Weapons'!C11, "| Addtl. Mod: ", 'Misc. Weapons'!D11, " ",'Misc. Weapons'!E11)</f>
        <v xml:space="preserve">Axe, Hand, +3| Addtl. Mod: No </v>
      </c>
      <c r="M11">
        <v>10</v>
      </c>
      <c r="N11" t="str">
        <f ca="1">IF('Missile Weapons'!B11="", _xlfn.CONCAT('Missile Weapons'!I11, ", ",'Missile Weapons'!J11,"| No. Found: ", 'Missile Weapons'!K11, " ",'Missile Weapons'!L11), _xlfn.CONCAT('Missile Weapons'!B11, ", ",'Missile Weapons'!C11, "| Range Mult.: ", 'Missile Weapons'!D11, "| Addtl. Mod.: ", 'Missile Weapons'!E11, " ", 'Missile Weapons'!F11))</f>
        <v xml:space="preserve">Arrows, +2| No. Found: 8 </v>
      </c>
    </row>
    <row r="12" spans="1:14" x14ac:dyDescent="0.3">
      <c r="A12">
        <v>11</v>
      </c>
      <c r="B12" t="str">
        <f ca="1">_xlfn.CONCAT(Swords!B12,", ", Swords!C12,", Int: ", Swords!D12, ", Communication: ", Swords!E12, ", Languages: ", Swords!F12, ", RM?: ", Swords!M12, "|Powers: ", Swords!G12, " ", Swords!H12, " ", Swords!I12, " ", Swords!J12, " ", Swords!K12, " ", Swords!L12, " ", Swords!N12, " ", Swords!O12, " ",Swords!P12," ",Swords!Q12, " ",Swords!R12," ",Swords!S12, "| Addtl Mod: ", Swords!T12, " ", Swords!U12)</f>
        <v>Short, +2, Int: 0, Communication: Nil, Languages: Nil, RM?: No|Powers:            | Addtl Mod: +4 Spell-Immune Monsters</v>
      </c>
      <c r="D12">
        <v>11</v>
      </c>
      <c r="E12" t="str">
        <f ca="1">_xlfn.CONCAT('Spell Scrolls'!B12, ", ", 'Spell Scrolls'!C12, " Spells| ", 'Spell Scrolls'!E12, "| ", 'Spell Scrolls'!G12, " |",'Spell Scrolls'!I12)</f>
        <v>Magical, 1 Spells| Knock|  |</v>
      </c>
      <c r="G12">
        <v>11</v>
      </c>
      <c r="H12" t="str">
        <f ca="1">_xlfn.CONCAT(Armor!B12, ": ", Armor!C12, ", ", Armor!D12, ". Spec. Power: ", Armor!E12, "| &amp; Shield?: ", Armor!F12, " ",Armor!G12)</f>
        <v xml:space="preserve">Human: Scale, +1. Spec. Power: No| &amp; Shield?: No </v>
      </c>
      <c r="J12">
        <v>11</v>
      </c>
      <c r="K12" t="str">
        <f ca="1">_xlfn.CONCAT('Misc. Weapons'!B12, ", ", 'Misc. Weapons'!C12, "| Addtl. Mod: ", 'Misc. Weapons'!D12, " ",'Misc. Weapons'!E12)</f>
        <v>Whip, +1| Addtl. Mod: +2 Undead</v>
      </c>
      <c r="M12">
        <v>11</v>
      </c>
      <c r="N12" t="str">
        <f ca="1">IF('Missile Weapons'!B12="", _xlfn.CONCAT('Missile Weapons'!I12, ", ",'Missile Weapons'!J12,"| No. Found: ", 'Missile Weapons'!K12, " ",'Missile Weapons'!L12), _xlfn.CONCAT('Missile Weapons'!B12, ", ",'Missile Weapons'!C12, "| Range Mult.: ", 'Missile Weapons'!D12, "| Addtl. Mod.: ", 'Missile Weapons'!E12, " ", 'Missile Weapons'!F12))</f>
        <v xml:space="preserve">Arrows, +1| No. Found: 7 </v>
      </c>
    </row>
    <row r="13" spans="1:14" x14ac:dyDescent="0.3">
      <c r="A13">
        <v>12</v>
      </c>
      <c r="B13" t="str">
        <f ca="1">_xlfn.CONCAT(Swords!B13,", ", Swords!C13,", Int: ", Swords!D13, ", Communication: ", Swords!E13, ", Languages: ", Swords!F13, ", RM?: ", Swords!M13, "|Powers: ", Swords!G13, " ", Swords!H13, " ", Swords!I13, " ", Swords!J13, " ", Swords!K13, " ", Swords!L13, " ", Swords!N13, " ", Swords!O13, " ",Swords!P13," ",Swords!Q13, " ",Swords!R13," ",Swords!S13, "| Addtl Mod: ", Swords!T13, " ", Swords!U13)</f>
        <v xml:space="preserve">Normal, +1, Int: 11, Communication: Speech, Languages: 3, RM?: Yes|Powers: Detect Metal See Invisible Find Secret Doors Find Traps   Telekinesis     | Addtl Mod: No </v>
      </c>
      <c r="D13">
        <v>12</v>
      </c>
      <c r="E13" t="str">
        <f ca="1">_xlfn.CONCAT('Spell Scrolls'!B13, ", ", 'Spell Scrolls'!C13, " Spells| ", 'Spell Scrolls'!E13, "| ", 'Spell Scrolls'!G13, " |",'Spell Scrolls'!I13)</f>
        <v>Magical, 1 Spells| Dissolve|  |</v>
      </c>
      <c r="G13">
        <v>12</v>
      </c>
      <c r="H13" t="str">
        <f ca="1">_xlfn.CONCAT(Armor!B13, ": ", Armor!C13, ", ", Armor!D13, ". Spec. Power: ", Armor!E13, "| &amp; Shield?: ", Armor!F13, " ",Armor!G13)</f>
        <v xml:space="preserve">Human: Plate, +1. Spec. Power: Invisibility| &amp; Shield?: No </v>
      </c>
      <c r="J13">
        <v>12</v>
      </c>
      <c r="K13" t="str">
        <f ca="1">_xlfn.CONCAT('Misc. Weapons'!B13, ", ", 'Misc. Weapons'!C13, "| Addtl. Mod: ", 'Misc. Weapons'!D13, " ",'Misc. Weapons'!E13)</f>
        <v xml:space="preserve">Whip, +4| Addtl. Mod: No </v>
      </c>
      <c r="M13">
        <v>12</v>
      </c>
      <c r="N13" t="str">
        <f ca="1">IF('Missile Weapons'!B13="", _xlfn.CONCAT('Missile Weapons'!I13, ", ",'Missile Weapons'!J13,"| No. Found: ", 'Missile Weapons'!K13, " ",'Missile Weapons'!L13), _xlfn.CONCAT('Missile Weapons'!B13, ", ",'Missile Weapons'!C13, "| Range Mult.: ", 'Missile Weapons'!D13, "| Addtl. Mod.: ", 'Missile Weapons'!E13, " ", 'Missile Weapons'!F13))</f>
        <v xml:space="preserve">Sling Stones, +4| No. Found: 8 </v>
      </c>
    </row>
    <row r="14" spans="1:14" x14ac:dyDescent="0.3">
      <c r="A14">
        <v>13</v>
      </c>
      <c r="B14" t="str">
        <f ca="1">_xlfn.CONCAT(Swords!B14,", ", Swords!C14,", Int: ", Swords!D14, ", Communication: ", Swords!E14, ", Languages: ", Swords!F14, ", RM?: ", Swords!M14, "|Powers: ", Swords!G14, " ", Swords!H14, " ", Swords!I14, " ", Swords!J14, " ", Swords!K14, " ", Swords!L14, " ", Swords!N14, " ", Swords!O14, " ",Swords!P14," ",Swords!Q14, " ",Swords!R14," ",Swords!S14, "| Addtl Mod: ", Swords!T14, " ", Swords!U14)</f>
        <v>Normal, +1, Int: 0, Communication: Nil, Languages: Nil, RM?: No|Powers:            | Addtl Mod: +4 Reptiles and Dinosaurs</v>
      </c>
      <c r="D14">
        <v>13</v>
      </c>
      <c r="E14" t="str">
        <f ca="1">_xlfn.CONCAT('Spell Scrolls'!B14, ", ", 'Spell Scrolls'!C14, " Spells| ", 'Spell Scrolls'!E14, "| ", 'Spell Scrolls'!G14, " |",'Spell Scrolls'!I14)</f>
        <v>Magical, 2 Spells| Hold Monster| Light* |</v>
      </c>
      <c r="G14">
        <v>13</v>
      </c>
      <c r="H14" t="str">
        <f ca="1">_xlfn.CONCAT(Armor!B14, ": ", Armor!C14, ", ", Armor!D14, ". Spec. Power: ", Armor!E14, "| &amp; Shield?: ", Armor!F14, " ",Armor!G14)</f>
        <v xml:space="preserve">Halfling: Shield, +1. Spec. Power: No| &amp; Shield?: No </v>
      </c>
      <c r="J14">
        <v>13</v>
      </c>
      <c r="K14" t="str">
        <f ca="1">_xlfn.CONCAT('Misc. Weapons'!B14, ", ", 'Misc. Weapons'!C14, "| Addtl. Mod: ", 'Misc. Weapons'!D14, " ",'Misc. Weapons'!E14)</f>
        <v>Axe, Hand, +2| Addtl. Mod: +2 Dragonkind</v>
      </c>
      <c r="M14">
        <v>13</v>
      </c>
      <c r="N14" t="str">
        <f ca="1">IF('Missile Weapons'!B14="", _xlfn.CONCAT('Missile Weapons'!I14, ", ",'Missile Weapons'!J14,"| No. Found: ", 'Missile Weapons'!K14, " ",'Missile Weapons'!L14), _xlfn.CONCAT('Missile Weapons'!B14, ", ",'Missile Weapons'!C14, "| Range Mult.: ", 'Missile Weapons'!D14, "| Addtl. Mod.: ", 'Missile Weapons'!E14, " ", 'Missile Weapons'!F14))</f>
        <v xml:space="preserve">Arrows, +3| No. Found: 9 </v>
      </c>
    </row>
    <row r="15" spans="1:14" x14ac:dyDescent="0.3">
      <c r="A15">
        <v>14</v>
      </c>
      <c r="B15" t="str">
        <f ca="1">_xlfn.CONCAT(Swords!B15,", ", Swords!C15,", Int: ", Swords!D15, ", Communication: ", Swords!E15, ", Languages: ", Swords!F15, ", RM?: ", Swords!M15, "|Powers: ", Swords!G15, " ", Swords!H15, " ", Swords!I15, " ", Swords!J15, " ", Swords!K15, " ", Swords!L15, " ", Swords!N15, " ", Swords!O15, " ",Swords!P15," ",Swords!Q15, " ",Swords!R15," ",Swords!S15, "| Addtl Mod: ", Swords!T15, " ", Swords!U15)</f>
        <v>Short, +3, Int: 0, Communication: Nil, Languages: Nil, RM?: No|Powers:            | Addtl Mod: +1 Enchanted Monsters</v>
      </c>
      <c r="D15">
        <v>14</v>
      </c>
      <c r="E15" t="str">
        <f ca="1">_xlfn.CONCAT('Spell Scrolls'!B15, ", ", 'Spell Scrolls'!C15, " Spells| ", 'Spell Scrolls'!E15, "| ", 'Spell Scrolls'!G15, " |",'Spell Scrolls'!I15)</f>
        <v>Magical, 3 Spells| Immunity| Charm Person |Water Breathing</v>
      </c>
      <c r="G15">
        <v>14</v>
      </c>
      <c r="H15" t="str">
        <f ca="1">_xlfn.CONCAT(Armor!B15, ": ", Armor!C15, ", ", Armor!D15, ". Spec. Power: ", Armor!E15, "| &amp; Shield?: ", Armor!F15, " ",Armor!G15)</f>
        <v xml:space="preserve">Elf: Shield, +2. Spec. Power: No| &amp; Shield?: No </v>
      </c>
      <c r="J15">
        <v>14</v>
      </c>
      <c r="K15" t="str">
        <f ca="1">_xlfn.CONCAT('Misc. Weapons'!B15, ", ", 'Misc. Weapons'!C15, "| Addtl. Mod: ", 'Misc. Weapons'!D15, " ",'Misc. Weapons'!E15)</f>
        <v>Axe, Battle, +1| Addtl. Mod: +4 Lycanthropes</v>
      </c>
      <c r="M15">
        <v>14</v>
      </c>
      <c r="N15" t="str">
        <f ca="1">IF('Missile Weapons'!B15="", _xlfn.CONCAT('Missile Weapons'!I15, ", ",'Missile Weapons'!J15,"| No. Found: ", 'Missile Weapons'!K15, " ",'Missile Weapons'!L15), _xlfn.CONCAT('Missile Weapons'!B15, ", ",'Missile Weapons'!C15, "| Range Mult.: ", 'Missile Weapons'!D15, "| Addtl. Mod.: ", 'Missile Weapons'!E15, " ", 'Missile Weapons'!F15))</f>
        <v xml:space="preserve">Arrows, +4| No. Found: 8 </v>
      </c>
    </row>
    <row r="16" spans="1:14" x14ac:dyDescent="0.3">
      <c r="A16">
        <v>15</v>
      </c>
      <c r="B16" t="str">
        <f ca="1">_xlfn.CONCAT(Swords!B16,", ", Swords!C16,", Int: ", Swords!D16, ", Communication: ", Swords!E16, ", Languages: ", Swords!F16, ", RM?: ", Swords!M16, "|Powers: ", Swords!G16, " ", Swords!H16, " ", Swords!I16, " ", Swords!J16, " ", Swords!K16, " ", Swords!L16, " ", Swords!N16, " ", Swords!O16, " ",Swords!P16," ",Swords!Q16, " ",Swords!R16," ",Swords!S16, "| Addtl Mod: ", Swords!T16, " ", Swords!U16)</f>
        <v xml:space="preserve">Normal, +1, Int: 7, Communication: Empathy, Languages: Nil, RM?: No|Powers: Detect Evil (Good)           | Addtl Mod: No </v>
      </c>
      <c r="D16">
        <v>15</v>
      </c>
      <c r="E16" t="str">
        <f ca="1">_xlfn.CONCAT('Spell Scrolls'!B16, ", ", 'Spell Scrolls'!C16, " Spells| ", 'Spell Scrolls'!E16, "| ", 'Spell Scrolls'!G16, " |",'Spell Scrolls'!I16)</f>
        <v>Clerical, 1 Spells| Create Normal Animals|  |</v>
      </c>
      <c r="G16">
        <v>15</v>
      </c>
      <c r="H16" t="str">
        <f ca="1">_xlfn.CONCAT(Armor!B16, ": ", Armor!C16, ", ", Armor!D16, ". Spec. Power: ", Armor!E16, "| &amp; Shield?: ", Armor!F16, " ",Armor!G16)</f>
        <v xml:space="preserve">Human: Shield, +3. Spec. Power: No| &amp; Shield?: No </v>
      </c>
      <c r="J16">
        <v>15</v>
      </c>
      <c r="K16" t="str">
        <f ca="1">_xlfn.CONCAT('Misc. Weapons'!B16, ", ", 'Misc. Weapons'!C16, "| Addtl. Mod: ", 'Misc. Weapons'!D16, " ",'Misc. Weapons'!E16)</f>
        <v xml:space="preserve">Net (returning), +4| Addtl. Mod: No </v>
      </c>
      <c r="M16">
        <v>15</v>
      </c>
      <c r="N16" t="str">
        <f ca="1">IF('Missile Weapons'!B16="", _xlfn.CONCAT('Missile Weapons'!I16, ", ",'Missile Weapons'!J16,"| No. Found: ", 'Missile Weapons'!K16, " ",'Missile Weapons'!L16), _xlfn.CONCAT('Missile Weapons'!B16, ", ",'Missile Weapons'!C16, "| Range Mult.: ", 'Missile Weapons'!D16, "| Addtl. Mod.: ", 'Missile Weapons'!E16, " ", 'Missile Weapons'!F16))</f>
        <v xml:space="preserve">Longbow, +1| Range Mult.: 1x| Addtl. Mod.: No </v>
      </c>
    </row>
    <row r="17" spans="1:14" x14ac:dyDescent="0.3">
      <c r="A17">
        <v>16</v>
      </c>
      <c r="B17" t="str">
        <f ca="1">_xlfn.CONCAT(Swords!B17,", ", Swords!C17,", Int: ", Swords!D17, ", Communication: ", Swords!E17, ", Languages: ", Swords!F17, ", RM?: ", Swords!M17, "|Powers: ", Swords!G17, " ", Swords!H17, " ", Swords!I17, " ", Swords!J17, " ", Swords!K17, " ", Swords!L17, " ", Swords!N17, " ", Swords!O17, " ",Swords!P17," ",Swords!Q17, " ",Swords!R17," ",Swords!S17, "| Addtl Mod: ", Swords!T17, " ", Swords!U17)</f>
        <v>Two-handed, +1, Int: 0, Communication: Nil, Languages: Nil, RM?: No|Powers:            | Addtl Mod: +4 Spellcasters</v>
      </c>
      <c r="D17">
        <v>16</v>
      </c>
      <c r="E17" t="str">
        <f ca="1">_xlfn.CONCAT('Spell Scrolls'!B17, ", ", 'Spell Scrolls'!C17, " Spells| ", 'Spell Scrolls'!E17, "| ", 'Spell Scrolls'!G17, " |",'Spell Scrolls'!I17)</f>
        <v>Magical, 2 Spells| Light*| Wizard Lock |</v>
      </c>
      <c r="G17">
        <v>16</v>
      </c>
      <c r="H17" t="str">
        <f ca="1">_xlfn.CONCAT(Armor!B17, ": ", Armor!C17, ", ", Armor!D17, ". Spec. Power: ", Armor!E17, "| &amp; Shield?: ", Armor!F17, " ",Armor!G17)</f>
        <v xml:space="preserve">Human: Shield, +1. Spec. Power: Cure Wounds| &amp; Shield?: No </v>
      </c>
      <c r="J17">
        <v>16</v>
      </c>
      <c r="K17" t="str">
        <f ca="1">_xlfn.CONCAT('Misc. Weapons'!B17, ", ", 'Misc. Weapons'!C17, "| Addtl. Mod: ", 'Misc. Weapons'!D17, " ",'Misc. Weapons'!E17)</f>
        <v xml:space="preserve">Axe, Battle, +3| Addtl. Mod: No </v>
      </c>
      <c r="M17">
        <v>16</v>
      </c>
      <c r="N17" t="str">
        <f ca="1">IF('Missile Weapons'!B17="", _xlfn.CONCAT('Missile Weapons'!I17, ", ",'Missile Weapons'!J17,"| No. Found: ", 'Missile Weapons'!K17, " ",'Missile Weapons'!L17), _xlfn.CONCAT('Missile Weapons'!B17, ", ",'Missile Weapons'!C17, "| Range Mult.: ", 'Missile Weapons'!D17, "| Addtl. Mod.: ", 'Missile Weapons'!E17, " ", 'Missile Weapons'!F17))</f>
        <v xml:space="preserve">Quarrels, +3| No. Found: 9 </v>
      </c>
    </row>
    <row r="18" spans="1:14" x14ac:dyDescent="0.3">
      <c r="A18">
        <v>17</v>
      </c>
      <c r="B18" t="str">
        <f ca="1">_xlfn.CONCAT(Swords!B18,", ", Swords!C18,", Int: ", Swords!D18, ", Communication: ", Swords!E18, ", Languages: ", Swords!F18, ", RM?: ", Swords!M18, "|Powers: ", Swords!G18, " ", Swords!H18, " ", Swords!I18, " ", Swords!J18, " ", Swords!K18, " ", Swords!L18, " ", Swords!N18, " ", Swords!O18, " ",Swords!P18," ",Swords!Q18, " ",Swords!R18," ",Swords!S18, "| Addtl Mod: ", Swords!T18, " ", Swords!U18)</f>
        <v xml:space="preserve">Normal, +3, Int: 0, Communication: Nil, Languages: Nil, RM?: No|Powers:            | Addtl Mod: No </v>
      </c>
      <c r="D18">
        <v>17</v>
      </c>
      <c r="E18" t="str">
        <f ca="1">_xlfn.CONCAT('Spell Scrolls'!B18, ", ", 'Spell Scrolls'!C18, " Spells| ", 'Spell Scrolls'!E18, "| ", 'Spell Scrolls'!G18, " |",'Spell Scrolls'!I18)</f>
        <v>Magical, 2 Spells| Invisibility| Lower Water |</v>
      </c>
      <c r="G18">
        <v>17</v>
      </c>
      <c r="H18" t="str">
        <f ca="1">_xlfn.CONCAT(Armor!B18, ": ", Armor!C18, ", ", Armor!D18, ". Spec. Power: ", Armor!E18, "| &amp; Shield?: ", Armor!F18, " ",Armor!G18)</f>
        <v xml:space="preserve">Human: Plate, +1. Spec. Power: No| &amp; Shield?: No </v>
      </c>
      <c r="J18">
        <v>17</v>
      </c>
      <c r="K18" t="str">
        <f ca="1">_xlfn.CONCAT('Misc. Weapons'!B18, ", ", 'Misc. Weapons'!C18, "| Addtl. Mod: ", 'Misc. Weapons'!D18, " ",'Misc. Weapons'!E18)</f>
        <v>Hammer, War, +1| Addtl. Mod: +1 Bugs</v>
      </c>
      <c r="M18">
        <v>17</v>
      </c>
      <c r="N18" t="str">
        <f ca="1">IF('Missile Weapons'!B18="", _xlfn.CONCAT('Missile Weapons'!I18, ", ",'Missile Weapons'!J18,"| No. Found: ", 'Missile Weapons'!K18, " ",'Missile Weapons'!L18), _xlfn.CONCAT('Missile Weapons'!B18, ", ",'Missile Weapons'!C18, "| Range Mult.: ", 'Missile Weapons'!D18, "| Addtl. Mod.: ", 'Missile Weapons'!E18, " ", 'Missile Weapons'!F18))</f>
        <v>Sling Stones, +1| No. Found: 7 Curing</v>
      </c>
    </row>
    <row r="19" spans="1:14" x14ac:dyDescent="0.3">
      <c r="A19">
        <v>18</v>
      </c>
      <c r="B19" t="str">
        <f ca="1">_xlfn.CONCAT(Swords!B19,", ", Swords!C19,", Int: ", Swords!D19, ", Communication: ", Swords!E19, ", Languages: ", Swords!F19, ", RM?: ", Swords!M19, "|Powers: ", Swords!G19, " ", Swords!H19, " ", Swords!I19, " ", Swords!J19, " ", Swords!K19, " ", Swords!L19, " ", Swords!N19, " ", Swords!O19, " ",Swords!P19," ",Swords!Q19, " ",Swords!R19," ",Swords!S19, "| Addtl Mod: ", Swords!T19, " ", Swords!U19)</f>
        <v>Two-handed, +3, Int: 0, Communication: Nil, Languages: Nil, RM?: No|Powers:            | Addtl Mod: Talent Speeding</v>
      </c>
      <c r="D19">
        <v>18</v>
      </c>
      <c r="E19" t="str">
        <f ca="1">_xlfn.CONCAT('Spell Scrolls'!B19, ", ", 'Spell Scrolls'!C19, " Spells| ", 'Spell Scrolls'!E19, "| ", 'Spell Scrolls'!G19, " |",'Spell Scrolls'!I19)</f>
        <v>Clerical, 1 Spells| Cure Blindness|  |</v>
      </c>
      <c r="G19">
        <v>18</v>
      </c>
      <c r="H19" t="str">
        <f ca="1">_xlfn.CONCAT(Armor!B19, ": ", Armor!C19, ", ", Armor!D19, ". Spec. Power: ", Armor!E19, "| &amp; Shield?: ", Armor!F19, " ",Armor!G19)</f>
        <v xml:space="preserve">Human: Leather, +2. Spec. Power: No| &amp; Shield?: No </v>
      </c>
      <c r="J19">
        <v>18</v>
      </c>
      <c r="K19" t="str">
        <f ca="1">_xlfn.CONCAT('Misc. Weapons'!B19, ", ", 'Misc. Weapons'!C19, "| Addtl. Mod: ", 'Misc. Weapons'!D19, " ",'Misc. Weapons'!E19)</f>
        <v>Mace, +1| Addtl. Mod: +3 Dragonkind</v>
      </c>
      <c r="M19">
        <v>18</v>
      </c>
      <c r="N19" t="str">
        <f ca="1">IF('Missile Weapons'!B19="", _xlfn.CONCAT('Missile Weapons'!I19, ", ",'Missile Weapons'!J19,"| No. Found: ", 'Missile Weapons'!K19, " ",'Missile Weapons'!L19), _xlfn.CONCAT('Missile Weapons'!B19, ", ",'Missile Weapons'!C19, "| Range Mult.: ", 'Missile Weapons'!D19, "| Addtl. Mod.: ", 'Missile Weapons'!E19, " ", 'Missile Weapons'!F19))</f>
        <v>Quarrels, +1| No. Found: 7 Screaming</v>
      </c>
    </row>
    <row r="20" spans="1:14" x14ac:dyDescent="0.3">
      <c r="A20">
        <v>19</v>
      </c>
      <c r="B20" t="str">
        <f ca="1">_xlfn.CONCAT(Swords!B20,", ", Swords!C20,", Int: ", Swords!D20, ", Communication: ", Swords!E20, ", Languages: ", Swords!F20, ", RM?: ", Swords!M20, "|Powers: ", Swords!G20, " ", Swords!H20, " ", Swords!I20, " ", Swords!J20, " ", Swords!K20, " ", Swords!L20, " ", Swords!N20, " ", Swords!O20, " ",Swords!P20," ",Swords!Q20, " ",Swords!R20," ",Swords!S20, "| Addtl Mod: ", Swords!T20, " ", Swords!U20)</f>
        <v xml:space="preserve">Two-handed, +1, Int: 0, Communication: Nil, Languages: Nil, RM?: No|Powers:            | Addtl Mod: No </v>
      </c>
      <c r="D20">
        <v>19</v>
      </c>
      <c r="E20" t="str">
        <f ca="1">_xlfn.CONCAT('Spell Scrolls'!B20, ", ", 'Spell Scrolls'!C20, " Spells| ", 'Spell Scrolls'!E20, "| ", 'Spell Scrolls'!G20, " |",'Spell Scrolls'!I20)</f>
        <v>Magical, 1 Spells| Summon Object|  |</v>
      </c>
      <c r="G20">
        <v>19</v>
      </c>
      <c r="H20" t="str">
        <f ca="1">_xlfn.CONCAT(Armor!B20, ": ", Armor!C20, ", ", Armor!D20, ". Spec. Power: ", Armor!E20, "| &amp; Shield?: ", Armor!F20, " ",Armor!G20)</f>
        <v xml:space="preserve">Human: Banded, +4. Spec. Power: Reflection| &amp; Shield?: No </v>
      </c>
      <c r="J20">
        <v>19</v>
      </c>
      <c r="K20" t="str">
        <f ca="1">_xlfn.CONCAT('Misc. Weapons'!B20, ", ", 'Misc. Weapons'!C20, "| Addtl. Mod: ", 'Misc. Weapons'!D20, " ",'Misc. Weapons'!E20)</f>
        <v xml:space="preserve">Club, +1| Addtl. Mod: No </v>
      </c>
      <c r="M20">
        <v>19</v>
      </c>
      <c r="N20" t="str">
        <f ca="1">IF('Missile Weapons'!B20="", _xlfn.CONCAT('Missile Weapons'!I20, ", ",'Missile Weapons'!J20,"| No. Found: ", 'Missile Weapons'!K20, " ",'Missile Weapons'!L20), _xlfn.CONCAT('Missile Weapons'!B20, ", ",'Missile Weapons'!C20, "| Range Mult.: ", 'Missile Weapons'!D20, "| Addtl. Mod.: ", 'Missile Weapons'!E20, " ", 'Missile Weapons'!F20))</f>
        <v xml:space="preserve">Sling Stones, +1| No. Found: 7 </v>
      </c>
    </row>
    <row r="21" spans="1:14" x14ac:dyDescent="0.3">
      <c r="A21">
        <v>20</v>
      </c>
      <c r="B21" t="str">
        <f ca="1">_xlfn.CONCAT(Swords!B21,", ", Swords!C21,", Int: ", Swords!D21, ", Communication: ", Swords!E21, ", Languages: ", Swords!F21, ", RM?: ", Swords!M21, "|Powers: ", Swords!G21, " ", Swords!H21, " ", Swords!I21, " ", Swords!J21, " ", Swords!K21, " ", Swords!L21, " ", Swords!N21, " ", Swords!O21, " ",Swords!P21," ",Swords!Q21, " ",Swords!R21," ",Swords!S21, "| Addtl Mod: ", Swords!T21, " ", Swords!U21)</f>
        <v xml:space="preserve">Normal, +1, Int: 0, Communication: Nil, Languages: Nil, RM?: No|Powers:            | Addtl Mod: No </v>
      </c>
      <c r="D21">
        <v>20</v>
      </c>
      <c r="E21" t="str">
        <f ca="1">_xlfn.CONCAT('Spell Scrolls'!B21, ", ", 'Spell Scrolls'!C21, " Spells| ", 'Spell Scrolls'!E21, "| ", 'Spell Scrolls'!G21, " |",'Spell Scrolls'!I21)</f>
        <v>Clerical, 2 Spells| Hold Person| Find Traps |</v>
      </c>
      <c r="G21">
        <v>20</v>
      </c>
      <c r="H21" t="str">
        <f ca="1">_xlfn.CONCAT(Armor!B21, ": ", Armor!C21, ", ", Armor!D21, ". Spec. Power: ", Armor!E21, "| &amp; Shield?: ", Armor!F21, " ",Armor!G21)</f>
        <v xml:space="preserve">Human: Suit, +1. Spec. Power: Energy Drain| &amp; Shield?: No </v>
      </c>
      <c r="J21">
        <v>20</v>
      </c>
      <c r="K21" t="str">
        <f ca="1">_xlfn.CONCAT('Misc. Weapons'!B21, ", ", 'Misc. Weapons'!C21, "| Addtl. Mod: ", 'Misc. Weapons'!D21, " ",'Misc. Weapons'!E21)</f>
        <v>Blackjack, +1| Addtl. Mod: +2 Enchanted Monsters</v>
      </c>
      <c r="M21">
        <v>20</v>
      </c>
      <c r="N21" t="str">
        <f ca="1">IF('Missile Weapons'!B21="", _xlfn.CONCAT('Missile Weapons'!I21, ", ",'Missile Weapons'!J21,"| No. Found: ", 'Missile Weapons'!K21, " ",'Missile Weapons'!L21), _xlfn.CONCAT('Missile Weapons'!B21, ", ",'Missile Weapons'!C21, "| Range Mult.: ", 'Missile Weapons'!D21, "| Addtl. Mod.: ", 'Missile Weapons'!E21, " ", 'Missile Weapons'!F21))</f>
        <v>Sling Stones, +1| No. Found: 7 Speaking</v>
      </c>
    </row>
    <row r="22" spans="1:14" x14ac:dyDescent="0.3">
      <c r="A22">
        <v>21</v>
      </c>
      <c r="B22" t="str">
        <f ca="1">_xlfn.CONCAT(Swords!B22,", ", Swords!C22,", Int: ", Swords!D22, ", Communication: ", Swords!E22, ", Languages: ", Swords!F22, ", RM?: ", Swords!M22, "|Powers: ", Swords!G22, " ", Swords!H22, " ", Swords!I22, " ", Swords!J22, " ", Swords!K22, " ", Swords!L22, " ", Swords!N22, " ", Swords!O22, " ",Swords!P22," ",Swords!Q22, " ",Swords!R22," ",Swords!S22, "| Addtl Mod: ", Swords!T22, " ", Swords!U22)</f>
        <v xml:space="preserve">Normal, +1, Int: 11, Communication: Speech, Languages: 6, RM?: Yes|Powers: Detect Gems Detect Metal Detect Metal Find Secret Doors        | Addtl Mod: No </v>
      </c>
    </row>
    <row r="23" spans="1:14" x14ac:dyDescent="0.3">
      <c r="A23">
        <v>22</v>
      </c>
      <c r="B23" t="str">
        <f ca="1">_xlfn.CONCAT(Swords!B23,", ", Swords!C23,", Int: ", Swords!D23, ", Communication: ", Swords!E23, ", Languages: ", Swords!F23, ", RM?: ", Swords!M23, "|Powers: ", Swords!G23, " ", Swords!H23, " ", Swords!I23, " ", Swords!J23, " ", Swords!K23, " ", Swords!L23, " ", Swords!N23, " ", Swords!O23, " ",Swords!P23," ",Swords!Q23, " ",Swords!R23," ",Swords!S23, "| Addtl Mod: ", Swords!T23, " ", Swords!U23)</f>
        <v>Normal, +1, Int: 12, Communication: Speech, Languages: 2, RM?: Yes|Powers: Find Traps Detect Evil (Good) Detect Metal    Telekinesis     | Addtl Mod: Talent Slowing</v>
      </c>
    </row>
    <row r="24" spans="1:14" x14ac:dyDescent="0.3">
      <c r="A24">
        <v>23</v>
      </c>
      <c r="B24" t="str">
        <f ca="1">_xlfn.CONCAT(Swords!B24,", ", Swords!C24,", Int: ", Swords!D24, ", Communication: ", Swords!E24, ", Languages: ", Swords!F24, ", RM?: ", Swords!M24, "|Powers: ", Swords!G24, " ", Swords!H24, " ", Swords!I24, " ", Swords!J24, " ", Swords!K24, " ", Swords!L24, " ", Swords!N24, " ", Swords!O24, " ",Swords!P24," ",Swords!Q24, " ",Swords!R24," ",Swords!S24, "| Addtl Mod: ", Swords!T24, " ", Swords!U24)</f>
        <v>Normal, +3, Int: 0, Communication: Nil, Languages: Nil, RM?: No|Powers:            | Addtl Mod: +3 Reptiles and Dinosaurs</v>
      </c>
    </row>
    <row r="25" spans="1:14" x14ac:dyDescent="0.3">
      <c r="A25">
        <v>24</v>
      </c>
      <c r="B25" t="str">
        <f ca="1">_xlfn.CONCAT(Swords!B25,", ", Swords!C25,", Int: ", Swords!D25, ", Communication: ", Swords!E25, ", Languages: ", Swords!F25, ", RM?: ", Swords!M25, "|Powers: ", Swords!G25, " ", Swords!H25, " ", Swords!I25, " ", Swords!J25, " ", Swords!K25, " ", Swords!L25, " ", Swords!N25, " ", Swords!O25, " ",Swords!P25," ",Swords!Q25, " ",Swords!R25," ",Swords!S25, "| Addtl Mod: ", Swords!T25, " ", Swords!U25)</f>
        <v xml:space="preserve">Normal, +1, Int: 9, Communication: Empathy, Languages: Nil, RM?: No|Powers: Detect Sloping Passages Detect Magic Detect Metal         | Addtl Mod: No </v>
      </c>
    </row>
    <row r="26" spans="1:14" x14ac:dyDescent="0.3">
      <c r="A26">
        <v>25</v>
      </c>
      <c r="B26" t="str">
        <f ca="1">_xlfn.CONCAT(Swords!B26,", ", Swords!C26,", Int: ", Swords!D26, ", Communication: ", Swords!E26, ", Languages: ", Swords!F26, ", RM?: ", Swords!M26, "|Powers: ", Swords!G26, " ", Swords!H26, " ", Swords!I26, " ", Swords!J26, " ", Swords!K26, " ", Swords!L26, " ", Swords!N26, " ", Swords!O26, " ",Swords!P26," ",Swords!Q26, " ",Swords!R26," ",Swords!S26, "| Addtl Mod: ", Swords!T26, " ", Swords!U26)</f>
        <v xml:space="preserve">Short, +1, Int: 0, Communication: Nil, Languages: Nil, RM?: No|Powers:            | Addtl Mod: No </v>
      </c>
    </row>
    <row r="27" spans="1:14" x14ac:dyDescent="0.3">
      <c r="A27">
        <v>26</v>
      </c>
      <c r="B27" t="str">
        <f ca="1">_xlfn.CONCAT(Swords!B27,", ", Swords!C27,", Int: ", Swords!D27, ", Communication: ", Swords!E27, ", Languages: ", Swords!F27, ", RM?: ", Swords!M27, "|Powers: ", Swords!G27, " ", Swords!H27, " ", Swords!I27, " ", Swords!J27, " ", Swords!K27, " ", Swords!L27, " ", Swords!N27, " ", Swords!O27, " ",Swords!P27," ",Swords!Q27, " ",Swords!R27," ",Swords!S27, "| Addtl Mod: ", Swords!T27, " ", Swords!U27)</f>
        <v xml:space="preserve">Normal, +1, Int: 0, Communication: Nil, Languages: Nil, RM?: No|Powers:            | Addtl Mod: No </v>
      </c>
    </row>
    <row r="28" spans="1:14" x14ac:dyDescent="0.3">
      <c r="A28">
        <v>27</v>
      </c>
      <c r="B28" t="str">
        <f ca="1">_xlfn.CONCAT(Swords!B28,", ", Swords!C28,", Int: ", Swords!D28, ", Communication: ", Swords!E28, ", Languages: ", Swords!F28, ", RM?: ", Swords!M28, "|Powers: ", Swords!G28, " ", Swords!H28, " ", Swords!I28, " ", Swords!J28, " ", Swords!K28, " ", Swords!L28, " ", Swords!N28, " ", Swords!O28, " ",Swords!P28," ",Swords!Q28, " ",Swords!R28," ",Swords!S28, "| Addtl Mod: ", Swords!T28, " ", Swords!U28)</f>
        <v xml:space="preserve">Normal, +1, Int: 0, Communication: Nil, Languages: Nil, RM?: No|Powers:            | Addtl Mod: No </v>
      </c>
    </row>
    <row r="29" spans="1:14" x14ac:dyDescent="0.3">
      <c r="A29">
        <v>28</v>
      </c>
      <c r="B29" t="str">
        <f ca="1">_xlfn.CONCAT(Swords!B29,", ", Swords!C29,", Int: ", Swords!D29, ", Communication: ", Swords!E29, ", Languages: ", Swords!F29, ", RM?: ", Swords!M29, "|Powers: ", Swords!G29, " ", Swords!H29, " ", Swords!I29, " ", Swords!J29, " ", Swords!K29, " ", Swords!L29, " ", Swords!N29, " ", Swords!O29, " ",Swords!P29," ",Swords!Q29, " ",Swords!R29," ",Swords!S29, "| Addtl Mod: ", Swords!T29, " ", Swords!U29)</f>
        <v xml:space="preserve">Short, +1, Int: 0, Communication: Nil, Languages: Nil, RM?: No|Powers:            | Addtl Mod: No </v>
      </c>
    </row>
    <row r="30" spans="1:14" x14ac:dyDescent="0.3">
      <c r="A30">
        <v>29</v>
      </c>
      <c r="B30" t="str">
        <f ca="1">_xlfn.CONCAT(Swords!B30,", ", Swords!C30,", Int: ", Swords!D30, ", Communication: ", Swords!E30, ", Languages: ", Swords!F30, ", RM?: ", Swords!M30, "|Powers: ", Swords!G30, " ", Swords!H30, " ", Swords!I30, " ", Swords!J30, " ", Swords!K30, " ", Swords!L30, " ", Swords!N30, " ", Swords!O30, " ",Swords!P30," ",Swords!Q30, " ",Swords!R30," ",Swords!S30, "| Addtl Mod: ", Swords!T30, " ", Swords!U30)</f>
        <v xml:space="preserve">Short, +1, Int: 8, Communication: Empathy, Languages: Nil, RM?: No|Powers: Detect Sloping Passages Find Traps          | Addtl Mod: No </v>
      </c>
    </row>
    <row r="31" spans="1:14" x14ac:dyDescent="0.3">
      <c r="A31">
        <v>30</v>
      </c>
      <c r="B31" t="str">
        <f ca="1">_xlfn.CONCAT(Swords!B31,", ", Swords!C31,", Int: ", Swords!D31, ", Communication: ", Swords!E31, ", Languages: ", Swords!F31, ", RM?: ", Swords!M31, "|Powers: ", Swords!G31, " ", Swords!H31, " ", Swords!I31, " ", Swords!J31, " ", Swords!K31, " ", Swords!L31, " ", Swords!N31, " ", Swords!O31, " ",Swords!P31," ",Swords!Q31, " ",Swords!R31," ",Swords!S31, "| Addtl Mod: ", Swords!T31, " ", Swords!U31)</f>
        <v xml:space="preserve">Short, +1, Int: 0, Communication: Nil, Languages: Nil, RM?: No|Powers:            | Addtl Mod: No </v>
      </c>
    </row>
    <row r="32" spans="1:14" x14ac:dyDescent="0.3">
      <c r="A32">
        <v>31</v>
      </c>
      <c r="B32" t="str">
        <f ca="1">_xlfn.CONCAT(Swords!B32,", ", Swords!C32,", Int: ", Swords!D32, ", Communication: ", Swords!E32, ", Languages: ", Swords!F32, ", RM?: ", Swords!M32, "|Powers: ", Swords!G32, " ", Swords!H32, " ", Swords!I32, " ", Swords!J32, " ", Swords!K32, " ", Swords!L32, " ", Swords!N32, " ", Swords!O32, " ",Swords!P32," ",Swords!Q32, " ",Swords!R32," ",Swords!S32, "| Addtl Mod: ", Swords!T32, " ", Swords!U32)</f>
        <v xml:space="preserve">Normal, +1, Int: 0, Communication: Nil, Languages: Nil, RM?: No|Powers:            | Addtl Mod: No </v>
      </c>
    </row>
    <row r="33" spans="1:2" x14ac:dyDescent="0.3">
      <c r="A33">
        <v>32</v>
      </c>
      <c r="B33" t="str">
        <f ca="1">_xlfn.CONCAT(Swords!B33,", ", Swords!C33,", Int: ", Swords!D33, ", Communication: ", Swords!E33, ", Languages: ", Swords!F33, ", RM?: ", Swords!M33, "|Powers: ", Swords!G33, " ", Swords!H33, " ", Swords!I33, " ", Swords!J33, " ", Swords!K33, " ", Swords!L33, " ", Swords!N33, " ", Swords!O33, " ",Swords!P33," ",Swords!Q33, " ",Swords!R33," ",Swords!S33, "| Addtl Mod: ", Swords!T33, " ", Swords!U33)</f>
        <v>Normal, +1, Int: 0, Communication: Nil, Languages: Nil, RM?: No|Powers:            | Addtl Mod: +2 Lycanthropes</v>
      </c>
    </row>
    <row r="34" spans="1:2" x14ac:dyDescent="0.3">
      <c r="A34">
        <v>33</v>
      </c>
      <c r="B34" t="str">
        <f ca="1">_xlfn.CONCAT(Swords!B34,", ", Swords!C34,", Int: ", Swords!D34, ", Communication: ", Swords!E34, ", Languages: ", Swords!F34, ", RM?: ", Swords!M34, "|Powers: ", Swords!G34, " ", Swords!H34, " ", Swords!I34, " ", Swords!J34, " ", Swords!K34, " ", Swords!L34, " ", Swords!N34, " ", Swords!O34, " ",Swords!P34," ",Swords!Q34, " ",Swords!R34," ",Swords!S34, "| Addtl Mod: ", Swords!T34, " ", Swords!U34)</f>
        <v xml:space="preserve">Short, +1, Int: 9, Communication: Empathy, Languages: Nil, RM?: No|Powers: Detect Shifting Walls and Rooms Detect Shifting Walls and Rooms Detect Shifting Walls and Rooms         | Addtl Mod: No </v>
      </c>
    </row>
    <row r="35" spans="1:2" x14ac:dyDescent="0.3">
      <c r="A35">
        <v>34</v>
      </c>
      <c r="B35" t="str">
        <f ca="1">_xlfn.CONCAT(Swords!B35,", ", Swords!C35,", Int: ", Swords!D35, ", Communication: ", Swords!E35, ", Languages: ", Swords!F35, ", RM?: ", Swords!M35, "|Powers: ", Swords!G35, " ", Swords!H35, " ", Swords!I35, " ", Swords!J35, " ", Swords!K35, " ", Swords!L35, " ", Swords!N35, " ", Swords!O35, " ",Swords!P35," ",Swords!Q35, " ",Swords!R35," ",Swords!S35, "| Addtl Mod: ", Swords!T35, " ", Swords!U35)</f>
        <v xml:space="preserve">Normal, +1, Int: 0, Communication: Nil, Languages: Nil, RM?: No|Powers:            | Addtl Mod: No </v>
      </c>
    </row>
    <row r="36" spans="1:2" x14ac:dyDescent="0.3">
      <c r="A36">
        <v>35</v>
      </c>
      <c r="B36" t="str">
        <f ca="1">_xlfn.CONCAT(Swords!B36,", ", Swords!C36,", Int: ", Swords!D36, ", Communication: ", Swords!E36, ", Languages: ", Swords!F36, ", RM?: ", Swords!M36, "|Powers: ", Swords!G36, " ", Swords!H36, " ", Swords!I36, " ", Swords!J36, " ", Swords!K36, " ", Swords!L36, " ", Swords!N36, " ", Swords!O36, " ",Swords!P36," ",Swords!Q36, " ",Swords!R36," ",Swords!S36, "| Addtl Mod: ", Swords!T36, " ", Swords!U36)</f>
        <v>Two-handed, +2, Int: 0, Communication: Nil, Languages: Nil, RM?: No|Powers:            | Addtl Mod: +2 Giantkind</v>
      </c>
    </row>
    <row r="37" spans="1:2" x14ac:dyDescent="0.3">
      <c r="A37">
        <v>36</v>
      </c>
      <c r="B37" t="str">
        <f ca="1">_xlfn.CONCAT(Swords!B37,", ", Swords!C37,", Int: ", Swords!D37, ", Communication: ", Swords!E37, ", Languages: ", Swords!F37, ", RM?: ", Swords!M37, "|Powers: ", Swords!G37, " ", Swords!H37, " ", Swords!I37, " ", Swords!J37, " ", Swords!K37, " ", Swords!L37, " ", Swords!N37, " ", Swords!O37, " ",Swords!P37," ",Swords!Q37, " ",Swords!R37," ",Swords!S37, "| Addtl Mod: ", Swords!T37, " ", Swords!U37)</f>
        <v>Normal, +1, Int: 8, Communication: Empathy, Languages: Nil, RM?: No|Powers: Find Secret Doors Detect Sloping Passages          | Addtl Mod: +2 Giantkind</v>
      </c>
    </row>
    <row r="38" spans="1:2" x14ac:dyDescent="0.3">
      <c r="A38">
        <v>37</v>
      </c>
      <c r="B38" t="str">
        <f ca="1">_xlfn.CONCAT(Swords!B38,", ", Swords!C38,", Int: ", Swords!D38, ", Communication: ", Swords!E38, ", Languages: ", Swords!F38, ", RM?: ", Swords!M38, "|Powers: ", Swords!G38, " ", Swords!H38, " ", Swords!I38, " ", Swords!J38, " ", Swords!K38, " ", Swords!L38, " ", Swords!N38, " ", Swords!O38, " ",Swords!P38," ",Swords!Q38, " ",Swords!R38," ",Swords!S38, "| Addtl Mod: ", Swords!T38, " ", Swords!U38)</f>
        <v>Normal, +1, Int: 0, Communication: Nil, Languages: Nil, RM?: No|Powers:            | Addtl Mod: +4 Reptiles and Dinosaurs</v>
      </c>
    </row>
    <row r="39" spans="1:2" x14ac:dyDescent="0.3">
      <c r="A39">
        <v>38</v>
      </c>
      <c r="B39" t="str">
        <f ca="1">_xlfn.CONCAT(Swords!B39,", ", Swords!C39,", Int: ", Swords!D39, ", Communication: ", Swords!E39, ", Languages: ", Swords!F39, ", RM?: ", Swords!M39, "|Powers: ", Swords!G39, " ", Swords!H39, " ", Swords!I39, " ", Swords!J39, " ", Swords!K39, " ", Swords!L39, " ", Swords!N39, " ", Swords!O39, " ",Swords!P39," ",Swords!Q39, " ",Swords!R39," ",Swords!S39, "| Addtl Mod: ", Swords!T39, " ", Swords!U39)</f>
        <v xml:space="preserve">Normal, +2, Int: 8, Communication: Empathy, Languages: Nil, RM?: No|Powers: Detect Shifting Walls and Rooms Detect Gems          | Addtl Mod: No </v>
      </c>
    </row>
    <row r="40" spans="1:2" x14ac:dyDescent="0.3">
      <c r="A40">
        <v>39</v>
      </c>
      <c r="B40" t="str">
        <f ca="1">_xlfn.CONCAT(Swords!B40,", ", Swords!C40,", Int: ", Swords!D40, ", Communication: ", Swords!E40, ", Languages: ", Swords!F40, ", RM?: ", Swords!M40, "|Powers: ", Swords!G40, " ", Swords!H40, " ", Swords!I40, " ", Swords!J40, " ", Swords!K40, " ", Swords!L40, " ", Swords!N40, " ", Swords!O40, " ",Swords!P40," ",Swords!Q40, " ",Swords!R40," ",Swords!S40, "| Addtl Mod: ", Swords!T40, " ", Swords!U40)</f>
        <v xml:space="preserve">Normal, +1, Int: 0, Communication: Nil, Languages: Nil, RM?: No|Powers:            | Addtl Mod: No </v>
      </c>
    </row>
    <row r="41" spans="1:2" x14ac:dyDescent="0.3">
      <c r="A41">
        <v>40</v>
      </c>
      <c r="B41" t="str">
        <f ca="1">_xlfn.CONCAT(Swords!B41,", ", Swords!C41,", Int: ", Swords!D41, ", Communication: ", Swords!E41, ", Languages: ", Swords!F41, ", RM?: ", Swords!M41, "|Powers: ", Swords!G41, " ", Swords!H41, " ", Swords!I41, " ", Swords!J41, " ", Swords!K41, " ", Swords!L41, " ", Swords!N41, " ", Swords!O41, " ",Swords!P41," ",Swords!Q41, " ",Swords!R41," ",Swords!S41, "| Addtl Mod: ", Swords!T41, " ", Swords!U41)</f>
        <v>Short, +1, Int: 0, Communication: Nil, Languages: Nil, RM?: No|Powers:            | Addtl Mod: +1 Giantkind</v>
      </c>
    </row>
    <row r="42" spans="1:2" x14ac:dyDescent="0.3">
      <c r="A42">
        <v>41</v>
      </c>
      <c r="B42" t="str">
        <f ca="1">_xlfn.CONCAT(Swords!B42,", ", Swords!C42,", Int: ", Swords!D42, ", Communication: ", Swords!E42, ", Languages: ", Swords!F42, ", RM?: ", Swords!M42, "|Powers: ", Swords!G42, " ", Swords!H42, " ", Swords!I42, " ", Swords!J42, " ", Swords!K42, " ", Swords!L42, " ", Swords!N42, " ", Swords!O42, " ",Swords!P42," ",Swords!Q42, " ",Swords!R42," ",Swords!S42, "| Addtl Mod: ", Swords!T42, " ", Swords!U42)</f>
        <v xml:space="preserve">Normal, +1, Int: 0, Communication: Nil, Languages: Nil, RM?: No|Powers:            | Addtl Mod: No </v>
      </c>
    </row>
    <row r="43" spans="1:2" x14ac:dyDescent="0.3">
      <c r="A43">
        <v>42</v>
      </c>
      <c r="B43" t="str">
        <f ca="1">_xlfn.CONCAT(Swords!B43,", ", Swords!C43,", Int: ", Swords!D43, ", Communication: ", Swords!E43, ", Languages: ", Swords!F43, ", RM?: ", Swords!M43, "|Powers: ", Swords!G43, " ", Swords!H43, " ", Swords!I43, " ", Swords!J43, " ", Swords!K43, " ", Swords!L43, " ", Swords!N43, " ", Swords!O43, " ",Swords!P43," ",Swords!Q43, " ",Swords!R43," ",Swords!S43, "| Addtl Mod: ", Swords!T43, " ", Swords!U43)</f>
        <v xml:space="preserve">Short, +1, Int: 0, Communication: Nil, Languages: Nil, RM?: No|Powers:            | Addtl Mod: No </v>
      </c>
    </row>
    <row r="44" spans="1:2" x14ac:dyDescent="0.3">
      <c r="A44">
        <v>43</v>
      </c>
      <c r="B44" t="str">
        <f ca="1">_xlfn.CONCAT(Swords!B44,", ", Swords!C44,", Int: ", Swords!D44, ", Communication: ", Swords!E44, ", Languages: ", Swords!F44, ", RM?: ", Swords!M44, "|Powers: ", Swords!G44, " ", Swords!H44, " ", Swords!I44, " ", Swords!J44, " ", Swords!K44, " ", Swords!L44, " ", Swords!N44, " ", Swords!O44, " ",Swords!P44," ",Swords!Q44, " ",Swords!R44," ",Swords!S44, "| Addtl Mod: ", Swords!T44, " ", Swords!U44)</f>
        <v xml:space="preserve">Two-handed, +1, Int: 9, Communication: Empathy, Languages: Nil, RM?: No|Powers: Detect Metal Detect Metal Find Secret Doors         | Addtl Mod: No </v>
      </c>
    </row>
    <row r="45" spans="1:2" x14ac:dyDescent="0.3">
      <c r="A45">
        <v>44</v>
      </c>
      <c r="B45" t="str">
        <f ca="1">_xlfn.CONCAT(Swords!B45,", ", Swords!C45,", Int: ", Swords!D45, ", Communication: ", Swords!E45, ", Languages: ", Swords!F45, ", RM?: ", Swords!M45, "|Powers: ", Swords!G45, " ", Swords!H45, " ", Swords!I45, " ", Swords!J45, " ", Swords!K45, " ", Swords!L45, " ", Swords!N45, " ", Swords!O45, " ",Swords!P45," ",Swords!Q45, " ",Swords!R45," ",Swords!S45, "| Addtl Mod: ", Swords!T45, " ", Swords!U45)</f>
        <v xml:space="preserve">Bastard, +2, Int: 0, Communication: Nil, Languages: Nil, RM?: No|Powers:            | Addtl Mod: No </v>
      </c>
    </row>
    <row r="46" spans="1:2" x14ac:dyDescent="0.3">
      <c r="A46">
        <v>45</v>
      </c>
      <c r="B46" t="str">
        <f ca="1">_xlfn.CONCAT(Swords!B46,", ", Swords!C46,", Int: ", Swords!D46, ", Communication: ", Swords!E46, ", Languages: ", Swords!F46, ", RM?: ", Swords!M46, "|Powers: ", Swords!G46, " ", Swords!H46, " ", Swords!I46, " ", Swords!J46, " ", Swords!K46, " ", Swords!L46, " ", Swords!N46, " ", Swords!O46, " ",Swords!P46," ",Swords!Q46, " ",Swords!R46," ",Swords!S46, "| Addtl Mod: ", Swords!T46, " ", Swords!U46)</f>
        <v>Normal, +1, Int: 0, Communication: Nil, Languages: Nil, RM?: No|Powers:            | Addtl Mod: Talent Watching</v>
      </c>
    </row>
    <row r="47" spans="1:2" x14ac:dyDescent="0.3">
      <c r="A47">
        <v>46</v>
      </c>
      <c r="B47" t="str">
        <f ca="1">_xlfn.CONCAT(Swords!B47,", ", Swords!C47,", Int: ", Swords!D47, ", Communication: ", Swords!E47, ", Languages: ", Swords!F47, ", RM?: ", Swords!M47, "|Powers: ", Swords!G47, " ", Swords!H47, " ", Swords!I47, " ", Swords!J47, " ", Swords!K47, " ", Swords!L47, " ", Swords!N47, " ", Swords!O47, " ",Swords!P47," ",Swords!Q47, " ",Swords!R47," ",Swords!S47, "| Addtl Mod: ", Swords!T47, " ", Swords!U47)</f>
        <v>Short, +1, Int: 0, Communication: Nil, Languages: Nil, RM?: No|Powers:            | Addtl Mod: +3 Reptiles and Dinosaurs</v>
      </c>
    </row>
    <row r="48" spans="1:2" x14ac:dyDescent="0.3">
      <c r="A48">
        <v>47</v>
      </c>
      <c r="B48" t="str">
        <f ca="1">_xlfn.CONCAT(Swords!B48,", ", Swords!C48,", Int: ", Swords!D48, ", Communication: ", Swords!E48, ", Languages: ", Swords!F48, ", RM?: ", Swords!M48, "|Powers: ", Swords!G48, " ", Swords!H48, " ", Swords!I48, " ", Swords!J48, " ", Swords!K48, " ", Swords!L48, " ", Swords!N48, " ", Swords!O48, " ",Swords!P48," ",Swords!Q48, " ",Swords!R48," ",Swords!S48, "| Addtl Mod: ", Swords!T48, " ", Swords!U48)</f>
        <v xml:space="preserve">Normal, +1, Int: 0, Communication: Nil, Languages: Nil, RM?: No|Powers:            | Addtl Mod: No </v>
      </c>
    </row>
    <row r="49" spans="1:2" x14ac:dyDescent="0.3">
      <c r="A49">
        <v>48</v>
      </c>
      <c r="B49" t="str">
        <f ca="1">_xlfn.CONCAT(Swords!B49,", ", Swords!C49,", Int: ", Swords!D49, ", Communication: ", Swords!E49, ", Languages: ", Swords!F49, ", RM?: ", Swords!M49, "|Powers: ", Swords!G49, " ", Swords!H49, " ", Swords!I49, " ", Swords!J49, " ", Swords!K49, " ", Swords!L49, " ", Swords!N49, " ", Swords!O49, " ",Swords!P49," ",Swords!Q49, " ",Swords!R49," ",Swords!S49, "| Addtl Mod: ", Swords!T49, " ", Swords!U49)</f>
        <v xml:space="preserve">Normal, +1, Int: 0, Communication: Nil, Languages: Nil, RM?: No|Powers:            | Addtl Mod: No </v>
      </c>
    </row>
    <row r="50" spans="1:2" x14ac:dyDescent="0.3">
      <c r="A50">
        <v>49</v>
      </c>
      <c r="B50" t="str">
        <f ca="1">_xlfn.CONCAT(Swords!B50,", ", Swords!C50,", Int: ", Swords!D50, ", Communication: ", Swords!E50, ", Languages: ", Swords!F50, ", RM?: ", Swords!M50, "|Powers: ", Swords!G50, " ", Swords!H50, " ", Swords!I50, " ", Swords!J50, " ", Swords!K50, " ", Swords!L50, " ", Swords!N50, " ", Swords!O50, " ",Swords!P50," ",Swords!Q50, " ",Swords!R50," ",Swords!S50, "| Addtl Mod: ", Swords!T50, " ", Swords!U50)</f>
        <v>Normal, +1, Int: 0, Communication: Nil, Languages: Nil, RM?: No|Powers:            | Addtl Mod: +1 Enchanted Monsters</v>
      </c>
    </row>
    <row r="51" spans="1:2" x14ac:dyDescent="0.3">
      <c r="A51">
        <v>50</v>
      </c>
      <c r="B51" t="str">
        <f ca="1">_xlfn.CONCAT(Swords!B51,", ", Swords!C51,", Int: ", Swords!D51, ", Communication: ", Swords!E51, ", Languages: ", Swords!F51, ", RM?: ", Swords!M51, "|Powers: ", Swords!G51, " ", Swords!H51, " ", Swords!I51, " ", Swords!J51, " ", Swords!K51, " ", Swords!L51, " ", Swords!N51, " ", Swords!O51, " ",Swords!P51," ",Swords!Q51, " ",Swords!R51," ",Swords!S51, "| Addtl Mod: ", Swords!T51, " ", Swords!U51)</f>
        <v>Bastard, +1, Int: 0, Communication: Nil, Languages: Nil, RM?: No|Powers:            | Addtl Mod: +2 Planar Monsters</v>
      </c>
    </row>
    <row r="52" spans="1:2" x14ac:dyDescent="0.3">
      <c r="A52">
        <v>51</v>
      </c>
      <c r="B52" t="str">
        <f ca="1">_xlfn.CONCAT(Swords!B52,", ", Swords!C52,", Int: ", Swords!D52, ", Communication: ", Swords!E52, ", Languages: ", Swords!F52, ", RM?: ", Swords!M52, "|Powers: ", Swords!G52, " ", Swords!H52, " ", Swords!I52, " ", Swords!J52, " ", Swords!K52, " ", Swords!L52, " ", Swords!N52, " ", Swords!O52, " ",Swords!P52," ",Swords!Q52, " ",Swords!R52," ",Swords!S52, "| Addtl Mod: ", Swords!T52, " ", Swords!U52)</f>
        <v>Normal, +3, Int: 0, Communication: Nil, Languages: Nil, RM?: No|Powers:            | Addtl Mod: +3 Regenerating Monsters</v>
      </c>
    </row>
    <row r="53" spans="1:2" x14ac:dyDescent="0.3">
      <c r="A53">
        <v>52</v>
      </c>
      <c r="B53" t="str">
        <f ca="1">_xlfn.CONCAT(Swords!B53,", ", Swords!C53,", Int: ", Swords!D53, ", Communication: ", Swords!E53, ", Languages: ", Swords!F53, ", RM?: ", Swords!M53, "|Powers: ", Swords!G53, " ", Swords!H53, " ", Swords!I53, " ", Swords!J53, " ", Swords!K53, " ", Swords!L53, " ", Swords!N53, " ", Swords!O53, " ",Swords!P53," ",Swords!Q53, " ",Swords!R53," ",Swords!S53, "| Addtl Mod: ", Swords!T53, " ", Swords!U53)</f>
        <v xml:space="preserve">Normal, +1, Int: 0, Communication: Nil, Languages: Nil, RM?: No|Powers:            | Addtl Mod: No </v>
      </c>
    </row>
    <row r="54" spans="1:2" x14ac:dyDescent="0.3">
      <c r="A54">
        <v>53</v>
      </c>
      <c r="B54" t="str">
        <f ca="1">_xlfn.CONCAT(Swords!B54,", ", Swords!C54,", Int: ", Swords!D54, ", Communication: ", Swords!E54, ", Languages: ", Swords!F54, ", RM?: ", Swords!M54, "|Powers: ", Swords!G54, " ", Swords!H54, " ", Swords!I54, " ", Swords!J54, " ", Swords!K54, " ", Swords!L54, " ", Swords!N54, " ", Swords!O54, " ",Swords!P54," ",Swords!Q54, " ",Swords!R54," ",Swords!S54, "| Addtl Mod: ", Swords!T54, " ", Swords!U54)</f>
        <v xml:space="preserve">Normal, +1, Int: 9, Communication: Empathy, Languages: Nil, RM?: No|Powers: Detect Metal Detect Gems Find Traps         | Addtl Mod: No </v>
      </c>
    </row>
    <row r="55" spans="1:2" x14ac:dyDescent="0.3">
      <c r="A55">
        <v>54</v>
      </c>
      <c r="B55" t="str">
        <f ca="1">_xlfn.CONCAT(Swords!B55,", ", Swords!C55,", Int: ", Swords!D55, ", Communication: ", Swords!E55, ", Languages: ", Swords!F55, ", RM?: ", Swords!M55, "|Powers: ", Swords!G55, " ", Swords!H55, " ", Swords!I55, " ", Swords!J55, " ", Swords!K55, " ", Swords!L55, " ", Swords!N55, " ", Swords!O55, " ",Swords!P55," ",Swords!Q55, " ",Swords!R55," ",Swords!S55, "| Addtl Mod: ", Swords!T55, " ", Swords!U55)</f>
        <v xml:space="preserve">Normal, +1, Int: 0, Communication: Nil, Languages: Nil, RM?: No|Powers:            | Addtl Mod: No </v>
      </c>
    </row>
    <row r="56" spans="1:2" x14ac:dyDescent="0.3">
      <c r="A56">
        <v>55</v>
      </c>
      <c r="B56" t="str">
        <f ca="1">_xlfn.CONCAT(Swords!B56,", ", Swords!C56,", Int: ", Swords!D56, ", Communication: ", Swords!E56, ", Languages: ", Swords!F56, ", RM?: ", Swords!M56, "|Powers: ", Swords!G56, " ", Swords!H56, " ", Swords!I56, " ", Swords!J56, " ", Swords!K56, " ", Swords!L56, " ", Swords!N56, " ", Swords!O56, " ",Swords!P56," ",Swords!Q56, " ",Swords!R56," ",Swords!S56, "| Addtl Mod: ", Swords!T56, " ", Swords!U56)</f>
        <v xml:space="preserve">Normal, +1, Int: 0, Communication: Nil, Languages: Nil, RM?: No|Powers:            | Addtl Mod: No </v>
      </c>
    </row>
    <row r="57" spans="1:2" x14ac:dyDescent="0.3">
      <c r="A57">
        <v>56</v>
      </c>
      <c r="B57" t="str">
        <f ca="1">_xlfn.CONCAT(Swords!B57,", ", Swords!C57,", Int: ", Swords!D57, ", Communication: ", Swords!E57, ", Languages: ", Swords!F57, ", RM?: ", Swords!M57, "|Powers: ", Swords!G57, " ", Swords!H57, " ", Swords!I57, " ", Swords!J57, " ", Swords!K57, " ", Swords!L57, " ", Swords!N57, " ", Swords!O57, " ",Swords!P57," ",Swords!Q57, " ",Swords!R57," ",Swords!S57, "| Addtl Mod: ", Swords!T57, " ", Swords!U57)</f>
        <v xml:space="preserve">Normal, +1, Int: 0, Communication: Nil, Languages: Nil, RM?: No|Powers:            | Addtl Mod: No </v>
      </c>
    </row>
    <row r="58" spans="1:2" x14ac:dyDescent="0.3">
      <c r="A58">
        <v>57</v>
      </c>
      <c r="B58" t="str">
        <f ca="1">_xlfn.CONCAT(Swords!B58,", ", Swords!C58,", Int: ", Swords!D58, ", Communication: ", Swords!E58, ", Languages: ", Swords!F58, ", RM?: ", Swords!M58, "|Powers: ", Swords!G58, " ", Swords!H58, " ", Swords!I58, " ", Swords!J58, " ", Swords!K58, " ", Swords!L58, " ", Swords!N58, " ", Swords!O58, " ",Swords!P58," ",Swords!Q58, " ",Swords!R58," ",Swords!S58, "| Addtl Mod: ", Swords!T58, " ", Swords!U58)</f>
        <v xml:space="preserve">Two-handed, +1, Int: 0, Communication: Nil, Languages: Nil, RM?: No|Powers:            | Addtl Mod: No </v>
      </c>
    </row>
    <row r="59" spans="1:2" x14ac:dyDescent="0.3">
      <c r="A59">
        <v>58</v>
      </c>
      <c r="B59" t="str">
        <f ca="1">_xlfn.CONCAT(Swords!B59,", ", Swords!C59,", Int: ", Swords!D59, ", Communication: ", Swords!E59, ", Languages: ", Swords!F59, ", RM?: ", Swords!M59, "|Powers: ", Swords!G59, " ", Swords!H59, " ", Swords!I59, " ", Swords!J59, " ", Swords!K59, " ", Swords!L59, " ", Swords!N59, " ", Swords!O59, " ",Swords!P59," ",Swords!Q59, " ",Swords!R59," ",Swords!S59, "| Addtl Mod: ", Swords!T59, " ", Swords!U59)</f>
        <v xml:space="preserve">Normal, +1, Int: 0, Communication: Nil, Languages: Nil, RM?: No|Powers:            | Addtl Mod: No </v>
      </c>
    </row>
    <row r="60" spans="1:2" x14ac:dyDescent="0.3">
      <c r="A60">
        <v>59</v>
      </c>
      <c r="B60" t="str">
        <f ca="1">_xlfn.CONCAT(Swords!B60,", ", Swords!C60,", Int: ", Swords!D60, ", Communication: ", Swords!E60, ", Languages: ", Swords!F60, ", RM?: ", Swords!M60, "|Powers: ", Swords!G60, " ", Swords!H60, " ", Swords!I60, " ", Swords!J60, " ", Swords!K60, " ", Swords!L60, " ", Swords!N60, " ", Swords!O60, " ",Swords!P60," ",Swords!Q60, " ",Swords!R60," ",Swords!S60, "| Addtl Mod: ", Swords!T60, " ", Swords!U60)</f>
        <v xml:space="preserve">Short, +4, Int: 0, Communication: Nil, Languages: Nil, RM?: No|Powers:            | Addtl Mod: No </v>
      </c>
    </row>
    <row r="61" spans="1:2" x14ac:dyDescent="0.3">
      <c r="A61">
        <v>60</v>
      </c>
      <c r="B61" t="str">
        <f ca="1">_xlfn.CONCAT(Swords!B61,", ", Swords!C61,", Int: ", Swords!D61, ", Communication: ", Swords!E61, ", Languages: ", Swords!F61, ", RM?: ", Swords!M61, "|Powers: ", Swords!G61, " ", Swords!H61, " ", Swords!I61, " ", Swords!J61, " ", Swords!K61, " ", Swords!L61, " ", Swords!N61, " ", Swords!O61, " ",Swords!P61," ",Swords!Q61, " ",Swords!R61," ",Swords!S61, "| Addtl Mod: ", Swords!T61, " ", Swords!U61)</f>
        <v>Bastard, +1, Int: 0, Communication: Nil, Languages: Nil, RM?: No|Powers:            | Addtl Mod: +1 Enchanted Monsters</v>
      </c>
    </row>
    <row r="62" spans="1:2" x14ac:dyDescent="0.3">
      <c r="A62">
        <v>61</v>
      </c>
      <c r="B62" t="str">
        <f ca="1">_xlfn.CONCAT(Swords!B62,", ", Swords!C62,", Int: ", Swords!D62, ", Communication: ", Swords!E62, ", Languages: ", Swords!F62, ", RM?: ", Swords!M62, "|Powers: ", Swords!G62, " ", Swords!H62, " ", Swords!I62, " ", Swords!J62, " ", Swords!K62, " ", Swords!L62, " ", Swords!N62, " ", Swords!O62, " ",Swords!P62," ",Swords!Q62, " ",Swords!R62," ",Swords!S62, "| Addtl Mod: ", Swords!T62, " ", Swords!U62)</f>
        <v xml:space="preserve">Two-handed, +1, Int: 0, Communication: Nil, Languages: Nil, RM?: No|Powers:            | Addtl Mod: No </v>
      </c>
    </row>
    <row r="63" spans="1:2" x14ac:dyDescent="0.3">
      <c r="A63">
        <v>62</v>
      </c>
      <c r="B63" t="str">
        <f ca="1">_xlfn.CONCAT(Swords!B63,", ", Swords!C63,", Int: ", Swords!D63, ", Communication: ", Swords!E63, ", Languages: ", Swords!F63, ", RM?: ", Swords!M63, "|Powers: ", Swords!G63, " ", Swords!H63, " ", Swords!I63, " ", Swords!J63, " ", Swords!K63, " ", Swords!L63, " ", Swords!N63, " ", Swords!O63, " ",Swords!P63," ",Swords!Q63, " ",Swords!R63," ",Swords!S63, "| Addtl Mod: ", Swords!T63, " ", Swords!U63)</f>
        <v xml:space="preserve">Short, +2, Int: 0, Communication: Nil, Languages: Nil, RM?: No|Powers:            | Addtl Mod: No </v>
      </c>
    </row>
    <row r="64" spans="1:2" x14ac:dyDescent="0.3">
      <c r="A64">
        <v>63</v>
      </c>
      <c r="B64" t="str">
        <f ca="1">_xlfn.CONCAT(Swords!B64,", ", Swords!C64,", Int: ", Swords!D64, ", Communication: ", Swords!E64, ", Languages: ", Swords!F64, ", RM?: ", Swords!M64, "|Powers: ", Swords!G64, " ", Swords!H64, " ", Swords!I64, " ", Swords!J64, " ", Swords!K64, " ", Swords!L64, " ", Swords!N64, " ", Swords!O64, " ",Swords!P64," ",Swords!Q64, " ",Swords!R64," ",Swords!S64, "| Addtl Mod: ", Swords!T64, " ", Swords!U64)</f>
        <v>Two-handed, +1, Int: 0, Communication: Nil, Languages: Nil, RM?: No|Powers:            | Addtl Mod: +1 Enchanted Monsters</v>
      </c>
    </row>
    <row r="65" spans="1:2" x14ac:dyDescent="0.3">
      <c r="A65">
        <v>64</v>
      </c>
      <c r="B65" t="str">
        <f ca="1">_xlfn.CONCAT(Swords!B65,", ", Swords!C65,", Int: ", Swords!D65, ", Communication: ", Swords!E65, ", Languages: ", Swords!F65, ", RM?: ", Swords!M65, "|Powers: ", Swords!G65, " ", Swords!H65, " ", Swords!I65, " ", Swords!J65, " ", Swords!K65, " ", Swords!L65, " ", Swords!N65, " ", Swords!O65, " ",Swords!P65," ",Swords!Q65, " ",Swords!R65," ",Swords!S65, "| Addtl Mod: ", Swords!T65, " ", Swords!U65)</f>
        <v xml:space="preserve">Short, +1, Int: 0, Communication: Nil, Languages: Nil, RM?: No|Powers:            | Addtl Mod: No </v>
      </c>
    </row>
    <row r="66" spans="1:2" x14ac:dyDescent="0.3">
      <c r="A66">
        <v>65</v>
      </c>
      <c r="B66" t="str">
        <f ca="1">_xlfn.CONCAT(Swords!B66,", ", Swords!C66,", Int: ", Swords!D66, ", Communication: ", Swords!E66, ", Languages: ", Swords!F66, ", RM?: ", Swords!M66, "|Powers: ", Swords!G66, " ", Swords!H66, " ", Swords!I66, " ", Swords!J66, " ", Swords!K66, " ", Swords!L66, " ", Swords!N66, " ", Swords!O66, " ",Swords!P66," ",Swords!Q66, " ",Swords!R66," ",Swords!S66, "| Addtl Mod: ", Swords!T66, " ", Swords!U66)</f>
        <v xml:space="preserve">Normal, +1, Int: 7, Communication: Empathy, Languages: Nil, RM?: No|Powers: Detect Shifting Walls and Rooms           | Addtl Mod: No </v>
      </c>
    </row>
    <row r="67" spans="1:2" x14ac:dyDescent="0.3">
      <c r="A67">
        <v>66</v>
      </c>
      <c r="B67" t="str">
        <f ca="1">_xlfn.CONCAT(Swords!B67,", ", Swords!C67,", Int: ", Swords!D67, ", Communication: ", Swords!E67, ", Languages: ", Swords!F67, ", RM?: ", Swords!M67, "|Powers: ", Swords!G67, " ", Swords!H67, " ", Swords!I67, " ", Swords!J67, " ", Swords!K67, " ", Swords!L67, " ", Swords!N67, " ", Swords!O67, " ",Swords!P67," ",Swords!Q67, " ",Swords!R67," ",Swords!S67, "| Addtl Mod: ", Swords!T67, " ", Swords!U67)</f>
        <v xml:space="preserve">Normal, +1, Int: 9, Communication: Empathy, Languages: Nil, RM?: No|Powers: Detect Shifting Walls and Rooms Detect Gems Detect Gems         | Addtl Mod: No </v>
      </c>
    </row>
    <row r="68" spans="1:2" x14ac:dyDescent="0.3">
      <c r="A68">
        <v>67</v>
      </c>
      <c r="B68" t="str">
        <f ca="1">_xlfn.CONCAT(Swords!B68,", ", Swords!C68,", Int: ", Swords!D68, ", Communication: ", Swords!E68, ", Languages: ", Swords!F68, ", RM?: ", Swords!M68, "|Powers: ", Swords!G68, " ", Swords!H68, " ", Swords!I68, " ", Swords!J68, " ", Swords!K68, " ", Swords!L68, " ", Swords!N68, " ", Swords!O68, " ",Swords!P68," ",Swords!Q68, " ",Swords!R68," ",Swords!S68, "| Addtl Mod: ", Swords!T68, " ", Swords!U68)</f>
        <v xml:space="preserve">Normal, +2, Int: 0, Communication: Nil, Languages: Nil, RM?: No|Powers:            | Addtl Mod: No </v>
      </c>
    </row>
    <row r="69" spans="1:2" x14ac:dyDescent="0.3">
      <c r="A69">
        <v>68</v>
      </c>
      <c r="B69" t="str">
        <f ca="1">_xlfn.CONCAT(Swords!B69,", ", Swords!C69,", Int: ", Swords!D69, ", Communication: ", Swords!E69, ", Languages: ", Swords!F69, ", RM?: ", Swords!M69, "|Powers: ", Swords!G69, " ", Swords!H69, " ", Swords!I69, " ", Swords!J69, " ", Swords!K69, " ", Swords!L69, " ", Swords!N69, " ", Swords!O69, " ",Swords!P69," ",Swords!Q69, " ",Swords!R69," ",Swords!S69, "| Addtl Mod: ", Swords!T69, " ", Swords!U69)</f>
        <v xml:space="preserve">Two-handed, +2, Int: 8, Communication: Empathy, Languages: Nil, RM?: No|Powers: Detect Gems Detect Shifting Walls and Rooms          | Addtl Mod: No </v>
      </c>
    </row>
    <row r="70" spans="1:2" x14ac:dyDescent="0.3">
      <c r="A70">
        <v>69</v>
      </c>
      <c r="B70" t="str">
        <f ca="1">_xlfn.CONCAT(Swords!B70,", ", Swords!C70,", Int: ", Swords!D70, ", Communication: ", Swords!E70, ", Languages: ", Swords!F70, ", RM?: ", Swords!M70, "|Powers: ", Swords!G70, " ", Swords!H70, " ", Swords!I70, " ", Swords!J70, " ", Swords!K70, " ", Swords!L70, " ", Swords!N70, " ", Swords!O70, " ",Swords!P70," ",Swords!Q70, " ",Swords!R70," ",Swords!S70, "| Addtl Mod: ", Swords!T70, " ", Swords!U70)</f>
        <v>Normal, +1, Int: 0, Communication: Nil, Languages: Nil, RM?: No|Powers:            | Addtl Mod: +1 Enchanted Monsters</v>
      </c>
    </row>
    <row r="71" spans="1:2" x14ac:dyDescent="0.3">
      <c r="A71">
        <v>70</v>
      </c>
      <c r="B71" t="str">
        <f ca="1">_xlfn.CONCAT(Swords!B71,", ", Swords!C71,", Int: ", Swords!D71, ", Communication: ", Swords!E71, ", Languages: ", Swords!F71, ", RM?: ", Swords!M71, "|Powers: ", Swords!G71, " ", Swords!H71, " ", Swords!I71, " ", Swords!J71, " ", Swords!K71, " ", Swords!L71, " ", Swords!N71, " ", Swords!O71, " ",Swords!P71," ",Swords!Q71, " ",Swords!R71," ",Swords!S71, "| Addtl Mod: ", Swords!T71, " ", Swords!U71)</f>
        <v xml:space="preserve">Normal, +2, Int: 0, Communication: Nil, Languages: Nil, RM?: No|Powers:            | Addtl Mod: No </v>
      </c>
    </row>
    <row r="72" spans="1:2" x14ac:dyDescent="0.3">
      <c r="A72">
        <v>71</v>
      </c>
      <c r="B72" t="str">
        <f ca="1">_xlfn.CONCAT(Swords!B72,", ", Swords!C72,", Int: ", Swords!D72, ", Communication: ", Swords!E72, ", Languages: ", Swords!F72, ", RM?: ", Swords!M72, "|Powers: ", Swords!G72, " ", Swords!H72, " ", Swords!I72, " ", Swords!J72, " ", Swords!K72, " ", Swords!L72, " ", Swords!N72, " ", Swords!O72, " ",Swords!P72," ",Swords!Q72, " ",Swords!R72," ",Swords!S72, "| Addtl Mod: ", Swords!T72, " ", Swords!U72)</f>
        <v xml:space="preserve">Normal, +1, Int: 9, Communication: Empathy, Languages: Nil, RM?: No|Powers: Find Secret Doors Detect Shifting Walls and Rooms Find Traps         | Addtl Mod: No </v>
      </c>
    </row>
    <row r="73" spans="1:2" x14ac:dyDescent="0.3">
      <c r="A73">
        <v>72</v>
      </c>
      <c r="B73" t="str">
        <f ca="1">_xlfn.CONCAT(Swords!B73,", ", Swords!C73,", Int: ", Swords!D73, ", Communication: ", Swords!E73, ", Languages: ", Swords!F73, ", RM?: ", Swords!M73, "|Powers: ", Swords!G73, " ", Swords!H73, " ", Swords!I73, " ", Swords!J73, " ", Swords!K73, " ", Swords!L73, " ", Swords!N73, " ", Swords!O73, " ",Swords!P73," ",Swords!Q73, " ",Swords!R73," ",Swords!S73, "| Addtl Mod: ", Swords!T73, " ", Swords!U73)</f>
        <v xml:space="preserve">Normal, +3, Int: 0, Communication: Nil, Languages: Nil, RM?: No|Powers:            | Addtl Mod: No </v>
      </c>
    </row>
    <row r="74" spans="1:2" x14ac:dyDescent="0.3">
      <c r="A74">
        <v>73</v>
      </c>
      <c r="B74" t="str">
        <f ca="1">_xlfn.CONCAT(Swords!B74,", ", Swords!C74,", Int: ", Swords!D74, ", Communication: ", Swords!E74, ", Languages: ", Swords!F74, ", RM?: ", Swords!M74, "|Powers: ", Swords!G74, " ", Swords!H74, " ", Swords!I74, " ", Swords!J74, " ", Swords!K74, " ", Swords!L74, " ", Swords!N74, " ", Swords!O74, " ",Swords!P74," ",Swords!Q74, " ",Swords!R74," ",Swords!S74, "| Addtl Mod: ", Swords!T74, " ", Swords!U74)</f>
        <v>Two-handed, +1, Int: 0, Communication: Nil, Languages: Nil, RM?: No|Powers:            | Addtl Mod: Talent Watching</v>
      </c>
    </row>
    <row r="75" spans="1:2" x14ac:dyDescent="0.3">
      <c r="A75">
        <v>74</v>
      </c>
      <c r="B75" t="str">
        <f ca="1">_xlfn.CONCAT(Swords!B75,", ", Swords!C75,", Int: ", Swords!D75, ", Communication: ", Swords!E75, ", Languages: ", Swords!F75, ", RM?: ", Swords!M75, "|Powers: ", Swords!G75, " ", Swords!H75, " ", Swords!I75, " ", Swords!J75, " ", Swords!K75, " ", Swords!L75, " ", Swords!N75, " ", Swords!O75, " ",Swords!P75," ",Swords!Q75, " ",Swords!R75," ",Swords!S75, "| Addtl Mod: ", Swords!T75, " ", Swords!U75)</f>
        <v>Normal, +1, Int: 0, Communication: Nil, Languages: Nil, RM?: No|Powers:            | Addtl Mod: +3 Reptiles and Dinosaurs</v>
      </c>
    </row>
    <row r="76" spans="1:2" x14ac:dyDescent="0.3">
      <c r="A76">
        <v>75</v>
      </c>
      <c r="B76" t="str">
        <f ca="1">_xlfn.CONCAT(Swords!B76,", ", Swords!C76,", Int: ", Swords!D76, ", Communication: ", Swords!E76, ", Languages: ", Swords!F76, ", RM?: ", Swords!M76, "|Powers: ", Swords!G76, " ", Swords!H76, " ", Swords!I76, " ", Swords!J76, " ", Swords!K76, " ", Swords!L76, " ", Swords!N76, " ", Swords!O76, " ",Swords!P76," ",Swords!Q76, " ",Swords!R76," ",Swords!S76, "| Addtl Mod: ", Swords!T76, " ", Swords!U76)</f>
        <v xml:space="preserve">Normal, +1, Int: 0, Communication: Nil, Languages: Nil, RM?: No|Powers:            | Addtl Mod: No </v>
      </c>
    </row>
    <row r="77" spans="1:2" x14ac:dyDescent="0.3">
      <c r="A77">
        <v>76</v>
      </c>
      <c r="B77" t="str">
        <f ca="1">_xlfn.CONCAT(Swords!B77,", ", Swords!C77,", Int: ", Swords!D77, ", Communication: ", Swords!E77, ", Languages: ", Swords!F77, ", RM?: ", Swords!M77, "|Powers: ", Swords!G77, " ", Swords!H77, " ", Swords!I77, " ", Swords!J77, " ", Swords!K77, " ", Swords!L77, " ", Swords!N77, " ", Swords!O77, " ",Swords!P77," ",Swords!Q77, " ",Swords!R77," ",Swords!S77, "| Addtl Mod: ", Swords!T77, " ", Swords!U77)</f>
        <v xml:space="preserve">Normal, +1, Int: 7, Communication: Empathy, Languages: Nil, RM?: No|Powers: Detect Shifting Walls and Rooms           | Addtl Mod: No </v>
      </c>
    </row>
    <row r="78" spans="1:2" x14ac:dyDescent="0.3">
      <c r="A78">
        <v>77</v>
      </c>
      <c r="B78" t="str">
        <f ca="1">_xlfn.CONCAT(Swords!B78,", ", Swords!C78,", Int: ", Swords!D78, ", Communication: ", Swords!E78, ", Languages: ", Swords!F78, ", RM?: ", Swords!M78, "|Powers: ", Swords!G78, " ", Swords!H78, " ", Swords!I78, " ", Swords!J78, " ", Swords!K78, " ", Swords!L78, " ", Swords!N78, " ", Swords!O78, " ",Swords!P78," ",Swords!Q78, " ",Swords!R78," ",Swords!S78, "| Addtl Mod: ", Swords!T78, " ", Swords!U78)</f>
        <v xml:space="preserve">Short, +1, Int: 0, Communication: Nil, Languages: Nil, RM?: No|Powers:            | Addtl Mod: No </v>
      </c>
    </row>
    <row r="79" spans="1:2" x14ac:dyDescent="0.3">
      <c r="A79">
        <v>78</v>
      </c>
      <c r="B79" t="str">
        <f ca="1">_xlfn.CONCAT(Swords!B79,", ", Swords!C79,", Int: ", Swords!D79, ", Communication: ", Swords!E79, ", Languages: ", Swords!F79, ", RM?: ", Swords!M79, "|Powers: ", Swords!G79, " ", Swords!H79, " ", Swords!I79, " ", Swords!J79, " ", Swords!K79, " ", Swords!L79, " ", Swords!N79, " ", Swords!O79, " ",Swords!P79," ",Swords!Q79, " ",Swords!R79," ",Swords!S79, "| Addtl Mod: ", Swords!T79, " ", Swords!U79)</f>
        <v xml:space="preserve">Short, +1, Int: 0, Communication: Nil, Languages: Nil, RM?: No|Powers:            | Addtl Mod: No </v>
      </c>
    </row>
    <row r="80" spans="1:2" x14ac:dyDescent="0.3">
      <c r="A80">
        <v>79</v>
      </c>
      <c r="B80" t="str">
        <f ca="1">_xlfn.CONCAT(Swords!B80,", ", Swords!C80,", Int: ", Swords!D80, ", Communication: ", Swords!E80, ", Languages: ", Swords!F80, ", RM?: ", Swords!M80, "|Powers: ", Swords!G80, " ", Swords!H80, " ", Swords!I80, " ", Swords!J80, " ", Swords!K80, " ", Swords!L80, " ", Swords!N80, " ", Swords!O80, " ",Swords!P80," ",Swords!Q80, " ",Swords!R80," ",Swords!S80, "| Addtl Mod: ", Swords!T80, " ", Swords!U80)</f>
        <v>Normal, +1, Int: 0, Communication: Nil, Languages: Nil, RM?: No|Powers:            | Addtl Mod: +3 Regenerating Monsters</v>
      </c>
    </row>
    <row r="81" spans="1:2" x14ac:dyDescent="0.3">
      <c r="A81">
        <v>80</v>
      </c>
      <c r="B81" t="str">
        <f ca="1">_xlfn.CONCAT(Swords!B81,", ", Swords!C81,", Int: ", Swords!D81, ", Communication: ", Swords!E81, ", Languages: ", Swords!F81, ", RM?: ", Swords!M81, "|Powers: ", Swords!G81, " ", Swords!H81, " ", Swords!I81, " ", Swords!J81, " ", Swords!K81, " ", Swords!L81, " ", Swords!N81, " ", Swords!O81, " ",Swords!P81," ",Swords!Q81, " ",Swords!R81," ",Swords!S81, "| Addtl Mod: ", Swords!T81, " ", Swords!U81)</f>
        <v xml:space="preserve">Short, +1, Int: 0, Communication: Nil, Languages: Nil, RM?: No|Powers:            | Addtl Mod: No </v>
      </c>
    </row>
    <row r="82" spans="1:2" x14ac:dyDescent="0.3">
      <c r="A82">
        <v>81</v>
      </c>
      <c r="B82" t="str">
        <f ca="1">_xlfn.CONCAT(Swords!B82,", ", Swords!C82,", Int: ", Swords!D82, ", Communication: ", Swords!E82, ", Languages: ", Swords!F82, ", RM?: ", Swords!M82, "|Powers: ", Swords!G82, " ", Swords!H82, " ", Swords!I82, " ", Swords!J82, " ", Swords!K82, " ", Swords!L82, " ", Swords!N82, " ", Swords!O82, " ",Swords!P82," ",Swords!Q82, " ",Swords!R82," ",Swords!S82, "| Addtl Mod: ", Swords!T82, " ", Swords!U82)</f>
        <v xml:space="preserve">Normal, +1, Int: 8, Communication: Empathy, Languages: Nil, RM?: No|Powers: Find Secret Doors Find Traps          | Addtl Mod: No </v>
      </c>
    </row>
    <row r="83" spans="1:2" x14ac:dyDescent="0.3">
      <c r="A83">
        <v>82</v>
      </c>
      <c r="B83" t="str">
        <f ca="1">_xlfn.CONCAT(Swords!B83,", ", Swords!C83,", Int: ", Swords!D83, ", Communication: ", Swords!E83, ", Languages: ", Swords!F83, ", RM?: ", Swords!M83, "|Powers: ", Swords!G83, " ", Swords!H83, " ", Swords!I83, " ", Swords!J83, " ", Swords!K83, " ", Swords!L83, " ", Swords!N83, " ", Swords!O83, " ",Swords!P83," ",Swords!Q83, " ",Swords!R83," ",Swords!S83, "| Addtl Mod: ", Swords!T83, " ", Swords!U83)</f>
        <v xml:space="preserve">Two-handed, +1, Int: 12, Communication: Speech, Languages: 2, RM?: Yes|Powers: Find Traps Detect Gems Detect Gems    Extra Damage     | Addtl Mod: No </v>
      </c>
    </row>
    <row r="84" spans="1:2" x14ac:dyDescent="0.3">
      <c r="A84">
        <v>83</v>
      </c>
      <c r="B84" t="str">
        <f ca="1">_xlfn.CONCAT(Swords!B84,", ", Swords!C84,", Int: ", Swords!D84, ", Communication: ", Swords!E84, ", Languages: ", Swords!F84, ", RM?: ", Swords!M84, "|Powers: ", Swords!G84, " ", Swords!H84, " ", Swords!I84, " ", Swords!J84, " ", Swords!K84, " ", Swords!L84, " ", Swords!N84, " ", Swords!O84, " ",Swords!P84," ",Swords!Q84, " ",Swords!R84," ",Swords!S84, "| Addtl Mod: ", Swords!T84, " ", Swords!U84)</f>
        <v>Normal, +2, Int: 0, Communication: Nil, Languages: Nil, RM?: No|Powers:            | Addtl Mod: +3 Reptiles and Dinosaurs</v>
      </c>
    </row>
    <row r="85" spans="1:2" x14ac:dyDescent="0.3">
      <c r="A85">
        <v>84</v>
      </c>
      <c r="B85" t="str">
        <f ca="1">_xlfn.CONCAT(Swords!B85,", ", Swords!C85,", Int: ", Swords!D85, ", Communication: ", Swords!E85, ", Languages: ", Swords!F85, ", RM?: ", Swords!M85, "|Powers: ", Swords!G85, " ", Swords!H85, " ", Swords!I85, " ", Swords!J85, " ", Swords!K85, " ", Swords!L85, " ", Swords!N85, " ", Swords!O85, " ",Swords!P85," ",Swords!Q85, " ",Swords!R85," ",Swords!S85, "| Addtl Mod: ", Swords!T85, " ", Swords!U85)</f>
        <v xml:space="preserve">Normal, +1, Int: 0, Communication: Nil, Languages: Nil, RM?: No|Powers:            | Addtl Mod: No </v>
      </c>
    </row>
    <row r="86" spans="1:2" x14ac:dyDescent="0.3">
      <c r="A86">
        <v>85</v>
      </c>
      <c r="B86" t="str">
        <f ca="1">_xlfn.CONCAT(Swords!B86,", ", Swords!C86,", Int: ", Swords!D86, ", Communication: ", Swords!E86, ", Languages: ", Swords!F86, ", RM?: ", Swords!M86, "|Powers: ", Swords!G86, " ", Swords!H86, " ", Swords!I86, " ", Swords!J86, " ", Swords!K86, " ", Swords!L86, " ", Swords!N86, " ", Swords!O86, " ",Swords!P86," ",Swords!Q86, " ",Swords!R86," ",Swords!S86, "| Addtl Mod: ", Swords!T86, " ", Swords!U86)</f>
        <v xml:space="preserve">Normal, +4, Int: 0, Communication: Nil, Languages: Nil, RM?: No|Powers:            | Addtl Mod: No </v>
      </c>
    </row>
    <row r="87" spans="1:2" x14ac:dyDescent="0.3">
      <c r="A87">
        <v>86</v>
      </c>
      <c r="B87" t="str">
        <f ca="1">_xlfn.CONCAT(Swords!B87,", ", Swords!C87,", Int: ", Swords!D87, ", Communication: ", Swords!E87, ", Languages: ", Swords!F87, ", RM?: ", Swords!M87, "|Powers: ", Swords!G87, " ", Swords!H87, " ", Swords!I87, " ", Swords!J87, " ", Swords!K87, " ", Swords!L87, " ", Swords!N87, " ", Swords!O87, " ",Swords!P87," ",Swords!Q87, " ",Swords!R87," ",Swords!S87, "| Addtl Mod: ", Swords!T87, " ", Swords!U87)</f>
        <v xml:space="preserve">Short, +1, Int: 0, Communication: Nil, Languages: Nil, RM?: No|Powers:            | Addtl Mod: No </v>
      </c>
    </row>
    <row r="88" spans="1:2" x14ac:dyDescent="0.3">
      <c r="A88">
        <v>87</v>
      </c>
      <c r="B88" t="str">
        <f ca="1">_xlfn.CONCAT(Swords!B88,", ", Swords!C88,", Int: ", Swords!D88, ", Communication: ", Swords!E88, ", Languages: ", Swords!F88, ", RM?: ", Swords!M88, "|Powers: ", Swords!G88, " ", Swords!H88, " ", Swords!I88, " ", Swords!J88, " ", Swords!K88, " ", Swords!L88, " ", Swords!N88, " ", Swords!O88, " ",Swords!P88," ",Swords!Q88, " ",Swords!R88," ",Swords!S88, "| Addtl Mod: ", Swords!T88, " ", Swords!U88)</f>
        <v xml:space="preserve">Normal, +1, Int: 0, Communication: Nil, Languages: Nil, RM?: No|Powers:            | Addtl Mod: No </v>
      </c>
    </row>
    <row r="89" spans="1:2" x14ac:dyDescent="0.3">
      <c r="A89">
        <v>88</v>
      </c>
      <c r="B89" t="str">
        <f ca="1">_xlfn.CONCAT(Swords!B89,", ", Swords!C89,", Int: ", Swords!D89, ", Communication: ", Swords!E89, ", Languages: ", Swords!F89, ", RM?: ", Swords!M89, "|Powers: ", Swords!G89, " ", Swords!H89, " ", Swords!I89, " ", Swords!J89, " ", Swords!K89, " ", Swords!L89, " ", Swords!N89, " ", Swords!O89, " ",Swords!P89," ",Swords!Q89, " ",Swords!R89," ",Swords!S89, "| Addtl Mod: ", Swords!T89, " ", Swords!U89)</f>
        <v xml:space="preserve">Normal, +4, Int: 0, Communication: Nil, Languages: Nil, RM?: No|Powers:            | Addtl Mod: No </v>
      </c>
    </row>
    <row r="90" spans="1:2" x14ac:dyDescent="0.3">
      <c r="A90">
        <v>89</v>
      </c>
      <c r="B90" t="str">
        <f ca="1">_xlfn.CONCAT(Swords!B90,", ", Swords!C90,", Int: ", Swords!D90, ", Communication: ", Swords!E90, ", Languages: ", Swords!F90, ", RM?: ", Swords!M90, "|Powers: ", Swords!G90, " ", Swords!H90, " ", Swords!I90, " ", Swords!J90, " ", Swords!K90, " ", Swords!L90, " ", Swords!N90, " ", Swords!O90, " ",Swords!P90," ",Swords!Q90, " ",Swords!R90," ",Swords!S90, "| Addtl Mod: ", Swords!T90, " ", Swords!U90)</f>
        <v xml:space="preserve">Bastard, +2, Int: 0, Communication: Nil, Languages: Nil, RM?: No|Powers:            | Addtl Mod: No </v>
      </c>
    </row>
    <row r="91" spans="1:2" x14ac:dyDescent="0.3">
      <c r="A91">
        <v>90</v>
      </c>
      <c r="B91" t="str">
        <f ca="1">_xlfn.CONCAT(Swords!B91,", ", Swords!C91,", Int: ", Swords!D91, ", Communication: ", Swords!E91, ", Languages: ", Swords!F91, ", RM?: ", Swords!M91, "|Powers: ", Swords!G91, " ", Swords!H91, " ", Swords!I91, " ", Swords!J91, " ", Swords!K91, " ", Swords!L91, " ", Swords!N91, " ", Swords!O91, " ",Swords!P91," ",Swords!Q91, " ",Swords!R91," ",Swords!S91, "| Addtl Mod: ", Swords!T91, " ", Swords!U91)</f>
        <v>Bastard, +2, Int: 0, Communication: Nil, Languages: Nil, RM?: No|Powers:            | Addtl Mod: +1 Bugs</v>
      </c>
    </row>
    <row r="92" spans="1:2" x14ac:dyDescent="0.3">
      <c r="A92">
        <v>91</v>
      </c>
      <c r="B92" t="str">
        <f ca="1">_xlfn.CONCAT(Swords!B92,", ", Swords!C92,", Int: ", Swords!D92, ", Communication: ", Swords!E92, ", Languages: ", Swords!F92, ", RM?: ", Swords!M92, "|Powers: ", Swords!G92, " ", Swords!H92, " ", Swords!I92, " ", Swords!J92, " ", Swords!K92, " ", Swords!L92, " ", Swords!N92, " ", Swords!O92, " ",Swords!P92," ",Swords!Q92, " ",Swords!R92," ",Swords!S92, "| Addtl Mod: ", Swords!T92, " ", Swords!U92)</f>
        <v xml:space="preserve">Short, +1, Int: 0, Communication: Nil, Languages: Nil, RM?: No|Powers:            | Addtl Mod: No </v>
      </c>
    </row>
    <row r="93" spans="1:2" x14ac:dyDescent="0.3">
      <c r="A93">
        <v>92</v>
      </c>
      <c r="B93" t="str">
        <f ca="1">_xlfn.CONCAT(Swords!B93,", ", Swords!C93,", Int: ", Swords!D93, ", Communication: ", Swords!E93, ", Languages: ", Swords!F93, ", RM?: ", Swords!M93, "|Powers: ", Swords!G93, " ", Swords!H93, " ", Swords!I93, " ", Swords!J93, " ", Swords!K93, " ", Swords!L93, " ", Swords!N93, " ", Swords!O93, " ",Swords!P93," ",Swords!Q93, " ",Swords!R93," ",Swords!S93, "| Addtl Mod: ", Swords!T93, " ", Swords!U93)</f>
        <v xml:space="preserve">Bastard, +1, Int: 0, Communication: Nil, Languages: Nil, RM?: No|Powers:            | Addtl Mod: No </v>
      </c>
    </row>
    <row r="94" spans="1:2" x14ac:dyDescent="0.3">
      <c r="A94">
        <v>93</v>
      </c>
      <c r="B94" t="str">
        <f ca="1">_xlfn.CONCAT(Swords!B94,", ", Swords!C94,", Int: ", Swords!D94, ", Communication: ", Swords!E94, ", Languages: ", Swords!F94, ", RM?: ", Swords!M94, "|Powers: ", Swords!G94, " ", Swords!H94, " ", Swords!I94, " ", Swords!J94, " ", Swords!K94, " ", Swords!L94, " ", Swords!N94, " ", Swords!O94, " ",Swords!P94," ",Swords!Q94, " ",Swords!R94," ",Swords!S94, "| Addtl Mod: ", Swords!T94, " ", Swords!U94)</f>
        <v>Short, +1, Int: 0, Communication: Nil, Languages: Nil, RM?: No|Powers:            | Addtl Mod: Talent Silencing</v>
      </c>
    </row>
    <row r="95" spans="1:2" x14ac:dyDescent="0.3">
      <c r="A95">
        <v>94</v>
      </c>
      <c r="B95" t="str">
        <f ca="1">_xlfn.CONCAT(Swords!B95,", ", Swords!C95,", Int: ", Swords!D95, ", Communication: ", Swords!E95, ", Languages: ", Swords!F95, ", RM?: ", Swords!M95, "|Powers: ", Swords!G95, " ", Swords!H95, " ", Swords!I95, " ", Swords!J95, " ", Swords!K95, " ", Swords!L95, " ", Swords!N95, " ", Swords!O95, " ",Swords!P95," ",Swords!Q95, " ",Swords!R95," ",Swords!S95, "| Addtl Mod: ", Swords!T95, " ", Swords!U95)</f>
        <v xml:space="preserve">Normal, +3, Int: 0, Communication: Nil, Languages: Nil, RM?: No|Powers:            | Addtl Mod: No </v>
      </c>
    </row>
    <row r="96" spans="1:2" x14ac:dyDescent="0.3">
      <c r="A96">
        <v>95</v>
      </c>
      <c r="B96" t="str">
        <f ca="1">_xlfn.CONCAT(Swords!B96,", ", Swords!C96,", Int: ", Swords!D96, ", Communication: ", Swords!E96, ", Languages: ", Swords!F96, ", RM?: ", Swords!M96, "|Powers: ", Swords!G96, " ", Swords!H96, " ", Swords!I96, " ", Swords!J96, " ", Swords!K96, " ", Swords!L96, " ", Swords!N96, " ", Swords!O96, " ",Swords!P96," ",Swords!Q96, " ",Swords!R96," ",Swords!S96, "| Addtl Mod: ", Swords!T96, " ", Swords!U96)</f>
        <v>Normal, +1, Int: 0, Communication: Nil, Languages: Nil, RM?: No|Powers:            | Addtl Mod: +1 Bugs</v>
      </c>
    </row>
    <row r="97" spans="1:2" x14ac:dyDescent="0.3">
      <c r="A97">
        <v>96</v>
      </c>
      <c r="B97" t="str">
        <f ca="1">_xlfn.CONCAT(Swords!B97,", ", Swords!C97,", Int: ", Swords!D97, ", Communication: ", Swords!E97, ", Languages: ", Swords!F97, ", RM?: ", Swords!M97, "|Powers: ", Swords!G97, " ", Swords!H97, " ", Swords!I97, " ", Swords!J97, " ", Swords!K97, " ", Swords!L97, " ", Swords!N97, " ", Swords!O97, " ",Swords!P97," ",Swords!Q97, " ",Swords!R97," ",Swords!S97, "| Addtl Mod: ", Swords!T97, " ", Swords!U97)</f>
        <v xml:space="preserve">Normal, +1, Int: 0, Communication: Nil, Languages: Nil, RM?: No|Powers:            | Addtl Mod: No </v>
      </c>
    </row>
    <row r="98" spans="1:2" x14ac:dyDescent="0.3">
      <c r="A98">
        <v>97</v>
      </c>
      <c r="B98" t="str">
        <f ca="1">_xlfn.CONCAT(Swords!B98,", ", Swords!C98,", Int: ", Swords!D98, ", Communication: ", Swords!E98, ", Languages: ", Swords!F98, ", RM?: ", Swords!M98, "|Powers: ", Swords!G98, " ", Swords!H98, " ", Swords!I98, " ", Swords!J98, " ", Swords!K98, " ", Swords!L98, " ", Swords!N98, " ", Swords!O98, " ",Swords!P98," ",Swords!Q98, " ",Swords!R98," ",Swords!S98, "| Addtl Mod: ", Swords!T98, " ", Swords!U98)</f>
        <v xml:space="preserve">Normal, +1, Int: 0, Communication: Nil, Languages: Nil, RM?: No|Powers:            | Addtl Mod: No </v>
      </c>
    </row>
    <row r="99" spans="1:2" x14ac:dyDescent="0.3">
      <c r="A99">
        <v>98</v>
      </c>
      <c r="B99" t="str">
        <f ca="1">_xlfn.CONCAT(Swords!B99,", ", Swords!C99,", Int: ", Swords!D99, ", Communication: ", Swords!E99, ", Languages: ", Swords!F99, ", RM?: ", Swords!M99, "|Powers: ", Swords!G99, " ", Swords!H99, " ", Swords!I99, " ", Swords!J99, " ", Swords!K99, " ", Swords!L99, " ", Swords!N99, " ", Swords!O99, " ",Swords!P99," ",Swords!Q99, " ",Swords!R99," ",Swords!S99, "| Addtl Mod: ", Swords!T99, " ", Swords!U99)</f>
        <v xml:space="preserve">Normal, +2, Int: 0, Communication: Nil, Languages: Nil, RM?: No|Powers:            | Addtl Mod: No </v>
      </c>
    </row>
    <row r="100" spans="1:2" x14ac:dyDescent="0.3">
      <c r="A100">
        <v>99</v>
      </c>
      <c r="B100" t="str">
        <f ca="1">_xlfn.CONCAT(Swords!B100,", ", Swords!C100,", Int: ", Swords!D100, ", Communication: ", Swords!E100, ", Languages: ", Swords!F100, ", RM?: ", Swords!M100, "|Powers: ", Swords!G100, " ", Swords!H100, " ", Swords!I100, " ", Swords!J100, " ", Swords!K100, " ", Swords!L100, " ", Swords!N100, " ", Swords!O100, " ",Swords!P100," ",Swords!Q100, " ",Swords!R100," ",Swords!S100, "| Addtl Mod: ", Swords!T100, " ", Swords!U100)</f>
        <v>Bastard, +2, Int: 0, Communication: Nil, Languages: Nil, RM?: No|Powers:            | Addtl Mod: +1 Enchanted Monsters</v>
      </c>
    </row>
    <row r="101" spans="1:2" x14ac:dyDescent="0.3">
      <c r="A101">
        <v>100</v>
      </c>
      <c r="B101" t="str">
        <f ca="1">_xlfn.CONCAT(Swords!B101,", ", Swords!C101,", Int: ", Swords!D101, ", Communication: ", Swords!E101, ", Languages: ", Swords!F101, ", RM?: ", Swords!M101, "|Powers: ", Swords!G101, " ", Swords!H101, " ", Swords!I101, " ", Swords!J101, " ", Swords!K101, " ", Swords!L101, " ", Swords!N101, " ", Swords!O101, " ",Swords!P101," ",Swords!Q101, " ",Swords!R101," ",Swords!S101, "| Addtl Mod: ", Swords!T101, " ", Swords!U101)</f>
        <v>Normal, +1, Int: 0, Communication: Nil, Languages: Nil, RM?: No|Powers:            | Addtl Mod: +2 Lycanthropes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Lair Treasures</vt:lpstr>
      <vt:lpstr>Spell Scrolls</vt:lpstr>
      <vt:lpstr>Armor</vt:lpstr>
      <vt:lpstr>Missile Weapons</vt:lpstr>
      <vt:lpstr>Swords</vt:lpstr>
      <vt:lpstr>Misc. Weapons</vt:lpstr>
      <vt:lpstr>power prob array</vt:lpstr>
      <vt:lpstr>concat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demitri</dc:creator>
  <cp:lastModifiedBy>Demitri Argires</cp:lastModifiedBy>
  <dcterms:created xsi:type="dcterms:W3CDTF">2022-01-13T22:38:33Z</dcterms:created>
  <dcterms:modified xsi:type="dcterms:W3CDTF">2022-03-30T15:08:23Z</dcterms:modified>
</cp:coreProperties>
</file>